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Documents\прайс-лист\Ледовые катки\"/>
    </mc:Choice>
  </mc:AlternateContent>
  <bookViews>
    <workbookView xWindow="0" yWindow="0" windowWidth="28800" windowHeight="12435" tabRatio="420" firstSheet="1" activeTab="6"/>
  </bookViews>
  <sheets>
    <sheet name="287м2 Н-БУнестандартный" sheetId="66" r:id="rId1"/>
    <sheet name="6-5Н-БУ" sheetId="65" r:id="rId2"/>
    <sheet name="6-10Н-БУ" sheetId="70" r:id="rId3"/>
    <sheet name="12-24Н-БУ" sheetId="64" r:id="rId4"/>
    <sheet name="15-30 Н-БУ" sheetId="59" r:id="rId5"/>
    <sheet name="20-30 Н-БУ" sheetId="61" r:id="rId6"/>
    <sheet name="20-40 Н-БУ" sheetId="58" r:id="rId7"/>
    <sheet name="20-45 Н-БУ" sheetId="62" r:id="rId8"/>
    <sheet name="25-55 Н-БУ (2)" sheetId="68" r:id="rId9"/>
    <sheet name="30-60 Н-БУ" sheetId="60" r:id="rId10"/>
    <sheet name="32-72 Н-БУ (3 компрессора)" sheetId="69" r:id="rId11"/>
    <sheet name="50-100 Н-БУ" sheetId="63" r:id="rId12"/>
  </sheets>
  <calcPr calcId="152511" refMode="R1C1"/>
</workbook>
</file>

<file path=xl/calcChain.xml><?xml version="1.0" encoding="utf-8"?>
<calcChain xmlns="http://schemas.openxmlformats.org/spreadsheetml/2006/main">
  <c r="E77" i="65" l="1"/>
  <c r="E77" i="70"/>
  <c r="E68" i="70" l="1"/>
  <c r="E91" i="70"/>
  <c r="E90" i="70"/>
  <c r="E67" i="70"/>
  <c r="E79" i="70" l="1"/>
  <c r="F79" i="70" s="1"/>
  <c r="E76" i="70"/>
  <c r="D40" i="70"/>
  <c r="D39" i="70"/>
  <c r="D46" i="70" s="1"/>
  <c r="D48" i="70" s="1"/>
  <c r="F91" i="70"/>
  <c r="E85" i="70"/>
  <c r="F85" i="70" s="1"/>
  <c r="E84" i="70"/>
  <c r="F84" i="70" s="1"/>
  <c r="E83" i="70"/>
  <c r="F83" i="70" s="1"/>
  <c r="F78" i="70"/>
  <c r="F76" i="70"/>
  <c r="F68" i="70"/>
  <c r="D57" i="70"/>
  <c r="I36" i="70"/>
  <c r="E5" i="70"/>
  <c r="D39" i="65"/>
  <c r="E76" i="65"/>
  <c r="F90" i="70" l="1"/>
  <c r="S90" i="70"/>
  <c r="F67" i="70"/>
  <c r="S67" i="70"/>
  <c r="F77" i="70"/>
  <c r="F80" i="70" s="1"/>
  <c r="E195" i="58"/>
  <c r="E193" i="58"/>
  <c r="E191" i="58"/>
  <c r="F191" i="58" s="1"/>
  <c r="D176" i="58"/>
  <c r="D177" i="58" s="1"/>
  <c r="C174" i="58"/>
  <c r="F195" i="58"/>
  <c r="F194" i="58"/>
  <c r="F193" i="58"/>
  <c r="E192" i="58"/>
  <c r="F192" i="58" s="1"/>
  <c r="E190" i="58"/>
  <c r="F190" i="58" s="1"/>
  <c r="D169" i="58"/>
  <c r="D165" i="58"/>
  <c r="D164" i="58"/>
  <c r="I39" i="59"/>
  <c r="H39" i="59"/>
  <c r="D39" i="59"/>
  <c r="C49" i="58"/>
  <c r="F69" i="70" l="1"/>
  <c r="O68" i="70"/>
  <c r="F92" i="70"/>
  <c r="O91" i="70"/>
  <c r="F196" i="58"/>
  <c r="E80" i="69"/>
  <c r="F84" i="69"/>
  <c r="E83" i="69"/>
  <c r="F83" i="69" s="1"/>
  <c r="E82" i="69"/>
  <c r="F82" i="69" s="1"/>
  <c r="E81" i="69"/>
  <c r="F81" i="69" s="1"/>
  <c r="F80" i="69"/>
  <c r="E53" i="69"/>
  <c r="F53" i="69" s="1"/>
  <c r="F58" i="69" s="1"/>
  <c r="E54" i="69"/>
  <c r="F54" i="69" s="1"/>
  <c r="E69" i="69"/>
  <c r="F69" i="69" s="1"/>
  <c r="E68" i="69"/>
  <c r="F68" i="69" s="1"/>
  <c r="E67" i="69"/>
  <c r="F67" i="69" s="1"/>
  <c r="E66" i="69"/>
  <c r="F66" i="69" s="1"/>
  <c r="E81" i="68"/>
  <c r="D46" i="69"/>
  <c r="E56" i="69"/>
  <c r="F56" i="69" s="1"/>
  <c r="D36" i="69"/>
  <c r="E70" i="69"/>
  <c r="F70" i="69" s="1"/>
  <c r="F57" i="69"/>
  <c r="E55" i="69"/>
  <c r="F55" i="69" s="1"/>
  <c r="D47" i="69"/>
  <c r="D44" i="69"/>
  <c r="E5" i="69"/>
  <c r="F94" i="70" l="1"/>
  <c r="F93" i="70"/>
  <c r="F70" i="70"/>
  <c r="F71" i="70"/>
  <c r="F198" i="58"/>
  <c r="F197" i="58"/>
  <c r="F71" i="69"/>
  <c r="F73" i="69" s="1"/>
  <c r="P83" i="69"/>
  <c r="F85" i="69"/>
  <c r="P56" i="69"/>
  <c r="E66" i="60"/>
  <c r="E68" i="68"/>
  <c r="F72" i="69" l="1"/>
  <c r="F59" i="69"/>
  <c r="F60" i="69"/>
  <c r="F87" i="69"/>
  <c r="F86" i="69"/>
  <c r="D39" i="58"/>
  <c r="D40" i="58" l="1"/>
  <c r="E86" i="68" l="1"/>
  <c r="E71" i="68"/>
  <c r="E84" i="68"/>
  <c r="E69" i="68"/>
  <c r="F81" i="68"/>
  <c r="E66" i="68"/>
  <c r="D57" i="68" l="1"/>
  <c r="D56" i="68"/>
  <c r="C54" i="68"/>
  <c r="D39" i="68"/>
  <c r="D46" i="68" s="1"/>
  <c r="D48" i="68" s="1"/>
  <c r="F86" i="68"/>
  <c r="F85" i="68"/>
  <c r="F84" i="68"/>
  <c r="E83" i="68"/>
  <c r="F83" i="68" s="1"/>
  <c r="E82" i="68"/>
  <c r="F82" i="68" s="1"/>
  <c r="F71" i="68"/>
  <c r="F70" i="68"/>
  <c r="F69" i="68"/>
  <c r="F68" i="68"/>
  <c r="E67" i="68"/>
  <c r="F67" i="68" s="1"/>
  <c r="F66" i="68"/>
  <c r="D40" i="68"/>
  <c r="E5" i="68"/>
  <c r="F72" i="68" l="1"/>
  <c r="F74" i="68" s="1"/>
  <c r="F87" i="68"/>
  <c r="F73" i="68" l="1"/>
  <c r="F89" i="68"/>
  <c r="F88" i="68"/>
  <c r="E76" i="64" l="1"/>
  <c r="I36" i="65" l="1"/>
  <c r="E67" i="66" l="1"/>
  <c r="E91" i="66"/>
  <c r="E90" i="66"/>
  <c r="E79" i="66"/>
  <c r="E77" i="66"/>
  <c r="E76" i="66"/>
  <c r="F91" i="66"/>
  <c r="E85" i="66"/>
  <c r="F85" i="66" s="1"/>
  <c r="E84" i="66"/>
  <c r="F84" i="66" s="1"/>
  <c r="F83" i="66"/>
  <c r="E83" i="66"/>
  <c r="F79" i="66"/>
  <c r="F78" i="66"/>
  <c r="F76" i="66"/>
  <c r="E68" i="66"/>
  <c r="F68" i="66" s="1"/>
  <c r="D56" i="66"/>
  <c r="C54" i="66"/>
  <c r="D57" i="66" s="1"/>
  <c r="D46" i="66"/>
  <c r="D48" i="66" s="1"/>
  <c r="D40" i="66"/>
  <c r="D39" i="66"/>
  <c r="D36" i="66"/>
  <c r="E5" i="66"/>
  <c r="F37" i="64"/>
  <c r="S90" i="66" l="1"/>
  <c r="F90" i="66"/>
  <c r="F67" i="66"/>
  <c r="S67" i="66"/>
  <c r="F77" i="66"/>
  <c r="F80" i="66" s="1"/>
  <c r="E67" i="65"/>
  <c r="E90" i="65"/>
  <c r="E91" i="65"/>
  <c r="E79" i="65"/>
  <c r="E68" i="65"/>
  <c r="D56" i="65"/>
  <c r="C54" i="65"/>
  <c r="D40" i="65"/>
  <c r="F90" i="65"/>
  <c r="F91" i="65"/>
  <c r="F92" i="65"/>
  <c r="F94" i="65"/>
  <c r="F93" i="65"/>
  <c r="O91" i="65"/>
  <c r="S90" i="65"/>
  <c r="E85" i="65"/>
  <c r="F85" i="65"/>
  <c r="E84" i="65"/>
  <c r="F84" i="65"/>
  <c r="E83" i="65"/>
  <c r="F83" i="65"/>
  <c r="F76" i="65"/>
  <c r="F77" i="65"/>
  <c r="F78" i="65"/>
  <c r="F79" i="65"/>
  <c r="F80" i="65"/>
  <c r="F67" i="65"/>
  <c r="F68" i="65"/>
  <c r="F69" i="65"/>
  <c r="F71" i="65"/>
  <c r="F70" i="65"/>
  <c r="O68" i="65"/>
  <c r="S67" i="65"/>
  <c r="D57" i="65"/>
  <c r="D46" i="65"/>
  <c r="D48" i="65"/>
  <c r="E5" i="65"/>
  <c r="D39" i="62"/>
  <c r="W37" i="63"/>
  <c r="S37" i="63"/>
  <c r="E67" i="64"/>
  <c r="E90" i="64"/>
  <c r="C54" i="64"/>
  <c r="D56" i="64"/>
  <c r="D57" i="64"/>
  <c r="E85" i="64"/>
  <c r="E84" i="64"/>
  <c r="E83" i="64"/>
  <c r="E68" i="64"/>
  <c r="D39" i="64"/>
  <c r="D40" i="64"/>
  <c r="D46" i="64"/>
  <c r="D48" i="64"/>
  <c r="F90" i="64"/>
  <c r="E91" i="64"/>
  <c r="F91" i="64"/>
  <c r="F92" i="64"/>
  <c r="F94" i="64"/>
  <c r="F93" i="64"/>
  <c r="O91" i="64"/>
  <c r="S90" i="64"/>
  <c r="F85" i="64"/>
  <c r="F84" i="64"/>
  <c r="F83" i="64"/>
  <c r="F76" i="64"/>
  <c r="E77" i="64"/>
  <c r="F77" i="64"/>
  <c r="F78" i="64"/>
  <c r="E79" i="64"/>
  <c r="F79" i="64"/>
  <c r="F80" i="64"/>
  <c r="F67" i="64"/>
  <c r="F68" i="64"/>
  <c r="F69" i="64"/>
  <c r="F71" i="64"/>
  <c r="F70" i="64"/>
  <c r="O68" i="64"/>
  <c r="S67" i="64"/>
  <c r="E5" i="64"/>
  <c r="F39" i="59"/>
  <c r="F40" i="59"/>
  <c r="F37" i="59"/>
  <c r="D113" i="58"/>
  <c r="C111" i="58"/>
  <c r="E78" i="63"/>
  <c r="E81" i="63"/>
  <c r="F81" i="63"/>
  <c r="E80" i="63"/>
  <c r="F80" i="63"/>
  <c r="E79" i="63"/>
  <c r="F79" i="63"/>
  <c r="F78" i="63"/>
  <c r="P80" i="63"/>
  <c r="D46" i="63"/>
  <c r="D45" i="63"/>
  <c r="C68" i="63"/>
  <c r="E67" i="63"/>
  <c r="E66" i="63"/>
  <c r="E65" i="63"/>
  <c r="E64" i="63"/>
  <c r="E55" i="63"/>
  <c r="E54" i="63"/>
  <c r="E53" i="63"/>
  <c r="E52" i="63"/>
  <c r="D39" i="63"/>
  <c r="D43" i="63"/>
  <c r="D38" i="63"/>
  <c r="E68" i="63"/>
  <c r="F67" i="63"/>
  <c r="F66" i="63"/>
  <c r="F65" i="63"/>
  <c r="F64" i="63"/>
  <c r="F55" i="63"/>
  <c r="F54" i="63"/>
  <c r="F53" i="63"/>
  <c r="F52" i="63"/>
  <c r="E5" i="63"/>
  <c r="E65" i="60"/>
  <c r="F68" i="63"/>
  <c r="F82" i="63"/>
  <c r="F56" i="63"/>
  <c r="P54" i="63"/>
  <c r="F69" i="63"/>
  <c r="E81" i="62"/>
  <c r="F81" i="62"/>
  <c r="E66" i="62"/>
  <c r="E68" i="62"/>
  <c r="E83" i="62"/>
  <c r="F86" i="62"/>
  <c r="E86" i="62"/>
  <c r="F85" i="62"/>
  <c r="E84" i="62"/>
  <c r="F84" i="62"/>
  <c r="F83" i="62"/>
  <c r="E82" i="62"/>
  <c r="F82" i="62"/>
  <c r="E71" i="62"/>
  <c r="F71" i="62"/>
  <c r="F70" i="62"/>
  <c r="F68" i="62"/>
  <c r="E67" i="62"/>
  <c r="F67" i="62"/>
  <c r="F66" i="62"/>
  <c r="D57" i="62"/>
  <c r="D40" i="62"/>
  <c r="D46" i="62"/>
  <c r="D48" i="62"/>
  <c r="E5" i="62"/>
  <c r="E67" i="59"/>
  <c r="E90" i="61"/>
  <c r="T90" i="61"/>
  <c r="E67" i="61"/>
  <c r="F80" i="61"/>
  <c r="E76" i="61"/>
  <c r="E91" i="61"/>
  <c r="F91" i="61"/>
  <c r="E85" i="61"/>
  <c r="F85" i="61"/>
  <c r="E84" i="61"/>
  <c r="F84" i="61"/>
  <c r="E83" i="61"/>
  <c r="F83" i="61"/>
  <c r="E79" i="61"/>
  <c r="F79" i="61"/>
  <c r="F78" i="61"/>
  <c r="F76" i="61"/>
  <c r="E68" i="61"/>
  <c r="F68" i="61"/>
  <c r="E77" i="61"/>
  <c r="F77" i="61"/>
  <c r="D57" i="61"/>
  <c r="D40" i="61"/>
  <c r="D39" i="61"/>
  <c r="D46" i="61"/>
  <c r="D48" i="61"/>
  <c r="E5" i="61"/>
  <c r="E53" i="60"/>
  <c r="E39" i="59"/>
  <c r="E40" i="59"/>
  <c r="F82" i="60"/>
  <c r="E81" i="60"/>
  <c r="F81" i="60"/>
  <c r="E80" i="60"/>
  <c r="F80" i="60"/>
  <c r="E79" i="60"/>
  <c r="F79" i="60"/>
  <c r="E69" i="60"/>
  <c r="F69" i="60"/>
  <c r="E68" i="60"/>
  <c r="F68" i="60"/>
  <c r="F67" i="60"/>
  <c r="F66" i="60"/>
  <c r="F65" i="60"/>
  <c r="F56" i="60"/>
  <c r="E55" i="60"/>
  <c r="F55" i="60"/>
  <c r="E54" i="60"/>
  <c r="F54" i="60"/>
  <c r="F53" i="60"/>
  <c r="D47" i="60"/>
  <c r="D46" i="60"/>
  <c r="D44" i="60"/>
  <c r="E5" i="60"/>
  <c r="F70" i="63"/>
  <c r="F71" i="63"/>
  <c r="F57" i="63"/>
  <c r="F58" i="63"/>
  <c r="F84" i="63"/>
  <c r="F83" i="63"/>
  <c r="F87" i="62"/>
  <c r="F89" i="62"/>
  <c r="F88" i="62"/>
  <c r="E69" i="62"/>
  <c r="F69" i="62"/>
  <c r="F72" i="62"/>
  <c r="F90" i="61"/>
  <c r="F67" i="61"/>
  <c r="T67" i="61"/>
  <c r="F57" i="60"/>
  <c r="P55" i="60"/>
  <c r="F83" i="60"/>
  <c r="P81" i="60"/>
  <c r="F70" i="60"/>
  <c r="F74" i="62"/>
  <c r="F73" i="62"/>
  <c r="P68" i="61"/>
  <c r="F69" i="61"/>
  <c r="F92" i="61"/>
  <c r="P91" i="61"/>
  <c r="F85" i="60"/>
  <c r="F84" i="60"/>
  <c r="F72" i="60"/>
  <c r="F71" i="60"/>
  <c r="F58" i="60"/>
  <c r="F59" i="60"/>
  <c r="F94" i="61"/>
  <c r="F93" i="61"/>
  <c r="F71" i="61"/>
  <c r="F70" i="61"/>
  <c r="E90" i="59"/>
  <c r="E91" i="59"/>
  <c r="F91" i="59"/>
  <c r="E76" i="59"/>
  <c r="F76" i="59"/>
  <c r="E79" i="59"/>
  <c r="F79" i="59"/>
  <c r="F78" i="59"/>
  <c r="E144" i="58"/>
  <c r="E85" i="59"/>
  <c r="F85" i="59"/>
  <c r="E68" i="59"/>
  <c r="F68" i="59"/>
  <c r="E84" i="59"/>
  <c r="F84" i="59"/>
  <c r="E83" i="59"/>
  <c r="F83" i="59"/>
  <c r="F67" i="59"/>
  <c r="D56" i="59"/>
  <c r="C54" i="59"/>
  <c r="D57" i="59"/>
  <c r="D40" i="59"/>
  <c r="D46" i="59"/>
  <c r="D48" i="59"/>
  <c r="E5" i="59"/>
  <c r="F69" i="59"/>
  <c r="F90" i="59"/>
  <c r="T90" i="59"/>
  <c r="E77" i="59"/>
  <c r="F77" i="59"/>
  <c r="F80" i="59"/>
  <c r="P68" i="59"/>
  <c r="T67" i="59"/>
  <c r="P91" i="59"/>
  <c r="F92" i="59"/>
  <c r="F94" i="59"/>
  <c r="F93" i="59"/>
  <c r="E142" i="58"/>
  <c r="E127" i="58"/>
  <c r="E80" i="58"/>
  <c r="F142" i="58"/>
  <c r="E130" i="58"/>
  <c r="F130" i="58"/>
  <c r="D51" i="58"/>
  <c r="E147" i="58"/>
  <c r="F147" i="58"/>
  <c r="F146" i="58"/>
  <c r="F144" i="58"/>
  <c r="E143" i="58"/>
  <c r="F143" i="58"/>
  <c r="E132" i="58"/>
  <c r="F132" i="58"/>
  <c r="F131" i="58"/>
  <c r="E129" i="58"/>
  <c r="F129" i="58"/>
  <c r="E128" i="58"/>
  <c r="F128" i="58"/>
  <c r="D106" i="58"/>
  <c r="D102" i="58"/>
  <c r="D101" i="58"/>
  <c r="E67" i="58"/>
  <c r="E82" i="58"/>
  <c r="F127" i="58"/>
  <c r="E145" i="58"/>
  <c r="F145" i="58"/>
  <c r="F148" i="58"/>
  <c r="D114" i="58"/>
  <c r="F133" i="58"/>
  <c r="E70" i="58"/>
  <c r="E85" i="58"/>
  <c r="F85" i="58"/>
  <c r="E65" i="58"/>
  <c r="E83" i="58"/>
  <c r="F83" i="58"/>
  <c r="F80" i="58"/>
  <c r="F82" i="58"/>
  <c r="F84" i="58"/>
  <c r="E81" i="58"/>
  <c r="F81" i="58"/>
  <c r="F135" i="58"/>
  <c r="F134" i="58"/>
  <c r="F150" i="58"/>
  <c r="F149" i="58"/>
  <c r="E68" i="58"/>
  <c r="F86" i="58"/>
  <c r="F88" i="58"/>
  <c r="E66" i="58"/>
  <c r="D52" i="58"/>
  <c r="D44" i="58"/>
  <c r="F87" i="58"/>
  <c r="F70" i="58"/>
  <c r="F69" i="58"/>
  <c r="F67" i="58"/>
  <c r="F66" i="58"/>
  <c r="F68" i="58"/>
  <c r="E5" i="58"/>
  <c r="F65" i="58"/>
  <c r="F71" i="58"/>
  <c r="F72" i="58"/>
  <c r="F73" i="58"/>
  <c r="F70" i="59"/>
  <c r="F71" i="59"/>
  <c r="F69" i="66" l="1"/>
  <c r="O68" i="66"/>
  <c r="F92" i="66"/>
  <c r="O91" i="66"/>
  <c r="F94" i="66" l="1"/>
  <c r="F93" i="66"/>
  <c r="F70" i="66"/>
  <c r="F71" i="66"/>
</calcChain>
</file>

<file path=xl/sharedStrings.xml><?xml version="1.0" encoding="utf-8"?>
<sst xmlns="http://schemas.openxmlformats.org/spreadsheetml/2006/main" count="1530" uniqueCount="207">
  <si>
    <t>support@akvilon-holod.ru</t>
  </si>
  <si>
    <t>Коммерческое предложение</t>
  </si>
  <si>
    <t>т. 7(495) 5085652, 363-40-77</t>
  </si>
  <si>
    <t>Благодарим Вас за проявленный интерес к Нашей Компании, на Ваш запрос на поставку холодильного оборудования, мы можем предложить оборудование со следующими техническими требованиями:</t>
  </si>
  <si>
    <t>НДС 18%</t>
  </si>
  <si>
    <t>шт</t>
  </si>
  <si>
    <t xml:space="preserve">Характеристики  оборудования: </t>
  </si>
  <si>
    <t>ПОДОБРАНО</t>
  </si>
  <si>
    <t>Количество х Модель компрессора</t>
  </si>
  <si>
    <t>Фреон</t>
  </si>
  <si>
    <t>Электрическая мощность установки, кВт</t>
  </si>
  <si>
    <t>Итог, цена в руб:</t>
  </si>
  <si>
    <t>дата:</t>
  </si>
  <si>
    <t>Температурный режим Контейнера 0..-20 град С</t>
  </si>
  <si>
    <t>Габаритные размеры контейнера(наружные)</t>
  </si>
  <si>
    <t>R507</t>
  </si>
  <si>
    <t>Масло</t>
  </si>
  <si>
    <t>синтет.</t>
  </si>
  <si>
    <t>Холодопроизводительность (Ткип/Тконд= -25/+45), кВт</t>
  </si>
  <si>
    <t>380В</t>
  </si>
  <si>
    <t>FRASCOLD | MANEUROP</t>
  </si>
  <si>
    <t>усл</t>
  </si>
  <si>
    <t>Благодарим Вас за интерес проявленный к нашей компании, ниже представлено предложение на поставку технологического холодильного оборудования по заданным Вами Характеристикам.</t>
  </si>
  <si>
    <t>Чиллер - это парокомпрессионная, пароохлаждающая холодильная машина (по своему назначению – климатическое оборудование) достаточно внушительных размеров. Фанкойлы и приточные установки в совокупности с чиллером обеспечивают работу этой системы. В качестве хладоносителя чаще всего используется вода, но нередко применяют и незамерзающие жидкости (пропилен, либо этиленгликоль)</t>
  </si>
  <si>
    <t>°С</t>
  </si>
  <si>
    <t>кВт</t>
  </si>
  <si>
    <t>м3/час</t>
  </si>
  <si>
    <t>Мощность кодненсатора, кВт</t>
  </si>
  <si>
    <t>Диаметры Фреонотрассы:</t>
  </si>
  <si>
    <t>КМ</t>
  </si>
  <si>
    <t>Централь</t>
  </si>
  <si>
    <t>Нагнетание</t>
  </si>
  <si>
    <t>Возврат с Конденсатора</t>
  </si>
  <si>
    <t>Жидкостная магистраль</t>
  </si>
  <si>
    <t>Всасывающая магистраль</t>
  </si>
  <si>
    <t>1*54</t>
  </si>
  <si>
    <t>компл</t>
  </si>
  <si>
    <t xml:space="preserve">Гарантия на оборудование 2 года, </t>
  </si>
  <si>
    <t>Цена в евро по курсу</t>
  </si>
  <si>
    <t xml:space="preserve">  </t>
  </si>
  <si>
    <t>Исходные данные:</t>
  </si>
  <si>
    <t>Спецификация генератора ледяной воды</t>
  </si>
  <si>
    <t>Нам нужна вода 0 градусов, заходить вода будет 15 градусов. По потребности 0,3 куба в 2 часа, но тут возникает ворос... если устройство проточного типа, то нам не подходит такая производительность, если накопительного (есть резервуар), то да. Иными словами, один раз в 2 часа мы наполняем ванну 300 литров. Конечно, ее наполнение не должно происходить в течение двух часов, это должно быть в течение не более 15 минут.</t>
  </si>
  <si>
    <t>Доставка оборудования</t>
  </si>
  <si>
    <t>Для получения воды, температура которой 0 градусов необходимо использовать генерато ледяной воды(чиллер емкость, в которой происходит охлаждение воды до заданной температуры. Охлаждение происходит не в теплообменнике). Для данной задачи минимально необходимая емкоть будет иметь объем (V) = 1 м3</t>
  </si>
  <si>
    <t>Хладагент</t>
  </si>
  <si>
    <t>Размеры ледовой арены:</t>
  </si>
  <si>
    <t xml:space="preserve">Длина </t>
  </si>
  <si>
    <t>м</t>
  </si>
  <si>
    <t>Ширина</t>
  </si>
  <si>
    <t>Холодопроизводительность установки режим намораживания</t>
  </si>
  <si>
    <t>Холодопроизводительность установки режим поддержания</t>
  </si>
  <si>
    <t>Хладоноситель</t>
  </si>
  <si>
    <t>Температура хладоносителя вход</t>
  </si>
  <si>
    <t>Температура хладоносителя выход</t>
  </si>
  <si>
    <t>Производительность насосной станции</t>
  </si>
  <si>
    <t>Напор насосной станции</t>
  </si>
  <si>
    <t>*Монтажные и пусконаладочные работы зависят от длины фреонотрассы, в стоимость не включены</t>
  </si>
  <si>
    <t>Оборудование поставляется в контейнерном исполнении, полностью готове к работе. Данное оборудование можно перевозить и устанавливать на другом месте.</t>
  </si>
  <si>
    <t>Комплект Айс-Матов</t>
  </si>
  <si>
    <t>Монтажные работы и пусконаладочные работы</t>
  </si>
  <si>
    <t>Расходные материалы, фреон, пропиленгликоль</t>
  </si>
  <si>
    <t>Техническое задание:</t>
  </si>
  <si>
    <r>
      <t xml:space="preserve">Принцип работы чиллера для ледовой арены сводиться в намораживании достаточного слоя льда и его поддержания. Данный процесс происходит за счет забора тепла хладоносителем (раствор этиленглиполя при температуре -12 градусов), циркулирующим в основании бетонной плиты, на которой расположен каток. </t>
    </r>
    <r>
      <rPr>
        <b/>
        <i/>
        <sz val="11"/>
        <rFont val="Arial Cyr"/>
        <charset val="204"/>
      </rPr>
      <t xml:space="preserve">Стоит также обратить внимание на то, что половина мощности оборудвоания уходит на создание ледового слоя, а вторая половина мощности холодильного оборудования </t>
    </r>
  </si>
  <si>
    <t>R404а</t>
  </si>
  <si>
    <t>пропиленгликоль</t>
  </si>
  <si>
    <t>Характеристики  централи: необходимо 1 шт.</t>
  </si>
  <si>
    <t>x Z40 154Y</t>
  </si>
  <si>
    <t>FRASCOLD поршневой</t>
  </si>
  <si>
    <t>Холодопроизводительность (Ткип/Тконд= -20/+40), кВт</t>
  </si>
  <si>
    <t>1х64</t>
  </si>
  <si>
    <t>1*89</t>
  </si>
  <si>
    <t>Chiller-4-Z40154-199-G  в сборе с комплектом автоматики, конденсаторным блок отдельно(воздушный конденсатор 540 кВт) На базе поршневых компрессоров Frascold. В сборе с кожухотрубным теплообменником. Корпусное модульнуе исполнение</t>
  </si>
  <si>
    <t>Чиллер Для ледовой Арены (Размеры 20 м * 40 м)</t>
  </si>
  <si>
    <t>Новое оборудование</t>
  </si>
  <si>
    <t xml:space="preserve">1. Каток будет находиться в Московской области
2. Назначение катка - для массового катания .
3. Каток  планируется расположить в помещении ангарного типа.  
4. Размеры ледовой площадки 20х40 метров. 
5. режим работы - круглогодичный
</t>
  </si>
  <si>
    <t>Срок поставки оборудования 4-6 недель</t>
  </si>
  <si>
    <t>Chiller-4-Z40154-199-G  в сборе с комплектом автоматики, конденсаторным блок отдельно(воздушный конденсатор 540 кВт) На базе поршневых компрессоров Frascold. В сборе с кожухотрубным теплообменником. Корпусное модульнуе исполнение. БУ оборудование</t>
  </si>
  <si>
    <t>БУ оборудование</t>
  </si>
  <si>
    <t>Чиллер для ледовой Арены на базе поршневых компрессоровFrascold, кожухотрубные теплообменники компании ALFA-Laval/</t>
  </si>
  <si>
    <t xml:space="preserve">Данные заказчика: </t>
  </si>
  <si>
    <t>Гидромодуль для чиллера 70 м3/час</t>
  </si>
  <si>
    <t>Винтовой Компрессор</t>
  </si>
  <si>
    <t>Поршневой Компрессор</t>
  </si>
  <si>
    <t>x CXHP52-125</t>
  </si>
  <si>
    <t>FRASCOLD винтовой</t>
  </si>
  <si>
    <t>Chiller-CXHP52-193-G  в сборе с комплектом автоматики, конденсаторным блок отдельно(воздушный конденсатор 500 кВт) На базе винтового компрессора Frascold в сборе с экономайзером. В сборе с кожухотрубным(либо пластинчатым) теплообменником. Корпусное модульнуе исполнение</t>
  </si>
  <si>
    <t>Chiller-CXHP52-193-G  в сборе с комплектом автоматики, конденсаторным блок отдельно(воздушный конденсатор 500 кВт) На базе винтового компрессора Frascold в сборе с экономайзером. В сборе с кожухотрубным(либо пластинчатым) теплообменником. Корпусное модульнуе исполнение БУ (частично)</t>
  </si>
  <si>
    <t>БУ оборудование(поршневой компрессор)</t>
  </si>
  <si>
    <t>БУ оборудование (Винтовой Компрессор)</t>
  </si>
  <si>
    <t>Чиллер Для ледовой Арены (Размеры 15 м * 30 м)</t>
  </si>
  <si>
    <t xml:space="preserve">Предоставить коммерческое предложение на холодильную машину (чиллер) для Ледового поля, размеры ледового поля 30*15м, Назначение ледового поля – хоккей, фигурное катание, массовое катание, Холодоноситель для ледового поля - 40%-ый раствор этиленгликоля. Номинальная толщина льда 30-50 мм, температура льда 6..8 град. Количество игроков 15 чел, количество катающихся при массовом катании 60 человек. Температура заливаемой воды при обслуживании 55-60 град. Три режима эксплуатауии.
 </t>
  </si>
  <si>
    <t>Принцип работы чиллера для ледовой арены сводиться в намораживании достаточного слоя льда и его поддержания. Данный процесс происходит за счет забора тепла хладоносителем (раствор этиленглиполя при температуре -12 градусов), циркулирующим в основании бетонной плиты, на которой расположен каток</t>
  </si>
  <si>
    <t>Теплоемкость хладоносителя</t>
  </si>
  <si>
    <t>кДж/кг*К</t>
  </si>
  <si>
    <t>Плотность хладоносителя</t>
  </si>
  <si>
    <t>кг/м3</t>
  </si>
  <si>
    <t>Диаметр трубопровода  хладоносителя</t>
  </si>
  <si>
    <t>мм</t>
  </si>
  <si>
    <t xml:space="preserve">Расчет централи </t>
  </si>
  <si>
    <t>Frascold Винтовой</t>
  </si>
  <si>
    <t>Холодопроизводительность (Ткип/Тконд= -18/+45), кВт</t>
  </si>
  <si>
    <t>R404a</t>
  </si>
  <si>
    <t>1x76</t>
  </si>
  <si>
    <t>CXHP52-125-372Y</t>
  </si>
  <si>
    <t>Насосная станция для первоначального заполнения тепло-хладоностеля. На базе наосос Wilo</t>
  </si>
  <si>
    <t>Насосная станция для отбора холода от холодильной станции ледового поля для Системмы СКВ/На базе наосос Wilo</t>
  </si>
  <si>
    <t>Гидромодуль для чиллера 110 м3/час на два насоса(основной и резервный) На базе наосос Wilo</t>
  </si>
  <si>
    <t>Система удаленного мониторинга</t>
  </si>
  <si>
    <t>Срок поставки оборудования 6-9 недель</t>
  </si>
  <si>
    <t>В комплект поставки не входит организация ледового основания(плиты и коллектора)</t>
  </si>
  <si>
    <t>Дополнительные опции:</t>
  </si>
  <si>
    <t>Доставка оборудования (г. Москва)</t>
  </si>
  <si>
    <t>Новое оборудование  (винтовой компрессор Frascold)</t>
  </si>
  <si>
    <t>Организация Ледового поля и коллектора:</t>
  </si>
  <si>
    <t>БУ оборудование  (винтовой компрессор Frascold, либо поршневые компрессора)</t>
  </si>
  <si>
    <t>0717-008</t>
  </si>
  <si>
    <t>Чиллер Для ледовой Арены (Размеры 30 м * 60 м)</t>
  </si>
  <si>
    <t xml:space="preserve">Предоставить коммерческое предложение на холодильную машину (чиллер) для Ледового поля, размеры ледового поля 30*60м, Назначение ледового поля – хоккей, фигурное катание, массовое катание, Холодоноситель для ледового поля - 40%-ый раствор этиленгликоля. Номинальная толщина льда 30-50 мм, температура льда 6..8 град. Количество игроков 50 чел, количество катающихся при массовом катании 150 человек. Температура заливаемой воды при обслуживании 55-60 град. Три режима эксплуатауии.
 </t>
  </si>
  <si>
    <t>404а/507а</t>
  </si>
  <si>
    <t>Номинальная холодопроизводительность (Tk-15 градусов) Tkond=30</t>
  </si>
  <si>
    <t>Холодопроизводительность установки режим намораживания (Tk-18 градусов) Tkond=45</t>
  </si>
  <si>
    <t>этиленгликоль</t>
  </si>
  <si>
    <t>Электрическая мощность установки, кВт в режими намораживания</t>
  </si>
  <si>
    <t>Электрическая мощность установки, кВт в режими поддержания</t>
  </si>
  <si>
    <t>Чиллер для ледовой Арены на базе винтовых компрессоро Frascold (Италия)/ В модульном исполнении</t>
  </si>
  <si>
    <t>Chiller-2-NRL6-160-402488-G  в сборе с комплектом автоматики, конденсаторным блок отдельно(размещение на крыше контейнера)(воздушный конденсатор 649 кВт ) На базе винтовых компактных компрессоров Frascold. В сборе с пластинчатым теплообменником SWEP. Корпусное модeльное исполнение(контейнерное). В сборе с Электронными ТРВ.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</t>
  </si>
  <si>
    <t>Дополнительный коллектор для подключения АЙС-МАТОВ + монтаж коллектора</t>
  </si>
  <si>
    <t>Монтажные работы, запуск оборудованя прокладка трассы 15 метров</t>
  </si>
  <si>
    <t>Расходный материал(фреон, масло компрессорное)</t>
  </si>
  <si>
    <t>Пропиленгликоль 40%</t>
  </si>
  <si>
    <t>м3</t>
  </si>
  <si>
    <t>*Цена на монтажные работы дана ориентировочно.</t>
  </si>
  <si>
    <t>Chiller-2-NRL6-160-402488-G  в сборе с комплектом автоматики, конденсаторным блок отдельно(размещение на крыше контейнера)(воздушный конденсатор 649 кВт ) На базе винтовых компактных компрессоров Frascold. В сборе с пластинчатым теплообменником SWEP. Корпусное модeльное исполнение(контейнерное). В сборе с Электронными ТРВ.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 (оборудование частично БУ,)</t>
  </si>
  <si>
    <t>Гидромодуль для чиллера 110 м3/час на два насоса(основной и резервный) На базе наосос Wilo (частично БУ)</t>
  </si>
  <si>
    <t>Гидромодуль для чиллера 60 м3/час на два насоса(основной и резервный) На базе наосос Wilo</t>
  </si>
  <si>
    <t>xСXHP02-80-230</t>
  </si>
  <si>
    <t>Chiller-СXHP0280-11078-G  в сборе с комплектом автоматики, конденсаторным блок отдельно(размещение на крыше контейнера)(воздушный конденсатор 250 кВт ) На базе винтовых компактных компрессоров Frascold. В сборе с пластинчатым теплообменником SWEP. Корпусное модeльное исполнение(контейнерное). В сборе с Электронными ТРВ.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</t>
  </si>
  <si>
    <t>Chiller-СXHP0280-11078-G  в сборе с комплектом автоматики, конденсаторным блок отдельно(размещение на крыше контейнера)(воздушный конденсатор 250 кВт ) На базе винтовых компактных компрессоров Frascold. В сборе с пластинчатым теплообменником SWEP. Корпусное модeльное исполнение(контейнерное). В сборе с Электронными ТРВ.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 (частично БУ оборудование)</t>
  </si>
  <si>
    <t>Чиллер Для ледовой Арены (Размеры 20 м * 30 м)</t>
  </si>
  <si>
    <t xml:space="preserve">Предоставить коммерческое предложение на холодильную машину (чиллер) для Ледового поля, размеры ледового поля 30*20м, Назначение ледового поля – хоккей, фигурное катание, массовое катание, Холодоноситель для ледового поля - 40%-ый раствор этиленгликоля. Номинальная толщина льда 30-50 мм, температура льда 6..8 град. Количество игроков 15 чел, количество катающихся при массовом катании 60-80  человек. Температура заливаемой воды при обслуживании 55-60 град. Три режима эксплуатауии.
 </t>
  </si>
  <si>
    <t>xСXHP02-90</t>
  </si>
  <si>
    <t>Chiller-СXHP0290-13000-G  в сборе с комплектом автоматики, конденсаторным блок отдельно(размещение на крыше контейнера)(воздушный конденсатор 300 кВт ) На базе винтовых компактных компрессоров Frascold. В сборе с пластинчатым теплообменником SWEP. Корпусное модeльное исполнение(контейнерное). В сборе с Электронными ТРВ.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</t>
  </si>
  <si>
    <t>Chiller-СXHP0290-13000-G  в сборе с комплектом автоматики, конденсаторным блок отдельно(размещение на крыше контейнера)(воздушный конденсатор 300 кВт ) На базе винтовых компактных компрессоров Frascold. В сборе с пластинчатым теплообменником SWEP. Корпусное модeльное исполнение(контейнерное). В сборе с Электронными ТРВ.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SWEP)(частично БУ оборудование)</t>
  </si>
  <si>
    <t>Чиллер Для ледовой Арены (Размеры 20 м * 45 м)</t>
  </si>
  <si>
    <t xml:space="preserve">Предоставить коммерческое предложение на холодильную машину (чиллер) для Ледового поля, размеры ледового поля 50*100м, Назначение ледового поля – хоккей, фигурное катание, массовое катание, Холодоноситель для ледового поля - 40%-ый раствор этиленгликоля. Номинальная толщина льда 30-50 мм, температура льда 6..8 град. Количество игроков 50 чел, количество катающихся при массовом катании 450-500 человек. Температура заливаемой воды при обслуживании 55-60 град. Три режима эксплуатауии.
 </t>
  </si>
  <si>
    <t>Chiller-4-NRL6-160-1125-G  в сборе с комплектом автоматики, конденсаторным блок отдельно(размещение на крыше контейнера)(воздушный конденсатор 2 МВт ) На базе винтовых компактных компрессоров Frascold. В сборе с пластинчатым теплообменником SWEP. Корпусное модульное исполнение(контейнерное, 40 Футов). В сборе с Электронными ТРВ.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</t>
  </si>
  <si>
    <t>Chiller-4-NRL6-160-1125-G  в сборе с комплектом автоматики, конденсаторным блок отдельно(размещение на крыше контейнера)(воздушный конденсатор 2 МВт ) На базе винтовых компактных компрессоров Frascold. В сборе с пластинчатым теплообменником SWEP. Корпусное модульное исполнение(контейнерное, 40 Футов). В сборе с Электронными ТРВ.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SWEP). Частично БУ оборудование</t>
  </si>
  <si>
    <t>Чиллер Для ледовой Арены (Размеры 50 м * 100 м)</t>
  </si>
  <si>
    <t>Габаритные размеры конденсаторного блока(исполнение _1)</t>
  </si>
  <si>
    <t>на крышу контейнера</t>
  </si>
  <si>
    <t>Chiller-CXHP52-193-G  в сборе с комплектом автоматики, конденсаторным блок отдельно(воздушный конденсатор 430 кВт) На базе винтового компрессора Frascold в сборе с экономайзером. В сборе с кожухотрубным(либо пластинчатым) теплообменником. Корпусное модульнуе исполнение БУ (частично)</t>
  </si>
  <si>
    <t>Габаритные размеры установки(без конденсаторного блока), вунтри контейнера</t>
  </si>
  <si>
    <t>Размеры Контейнера 20 футов</t>
  </si>
  <si>
    <t>Габаритные размеры конденсаторного блока(исполнение _2)</t>
  </si>
  <si>
    <t>отдельно от установки</t>
  </si>
  <si>
    <t>1 шт</t>
  </si>
  <si>
    <t>2 шт</t>
  </si>
  <si>
    <t>Чиллер Для ледовой Арены (Размеры 12 м * 24 м)</t>
  </si>
  <si>
    <t>xV25103</t>
  </si>
  <si>
    <t>Новое оборудование  (поршневой компрессор Frascold)</t>
  </si>
  <si>
    <t>Chiller-2-V25103-7288-G  в сборе с комплектом автоматики, конденсаторным блок отдельно(размещение на крыше контейнера)(воздушный конденсатор 150 кВт ) На базе поршневых Frascold. В сборе с пластинчатым теплообменником SWEP. Корпусное модeльное исполнение(контейнерное). В сборе с Электронными ТРВ. Конденсаторный блок ECO(HeatCraft). Система Экономайзеров на каждый компрессор (пластинчатые теплообменники SWEP)</t>
  </si>
  <si>
    <t>Гидромодуль для чиллера 20 м3/час на два насоса(основной и резервный) На базе наосос Wilo</t>
  </si>
  <si>
    <t>Frascold Поршневой</t>
  </si>
  <si>
    <t>БУ оборудование  (поршневые компрессора)</t>
  </si>
  <si>
    <t>1x54</t>
  </si>
  <si>
    <t xml:space="preserve">Предоставить коммерческое предложение на холодильную машину (чиллер) для Ледового поля, размеры ледового поля 24*12м, Назначение ледового поля – хоккей, фигурное катание, массовое катание, Холодоноситель для ледового поля - 40%-ый раствор этиленгликоля. Номинальная толщина льда 30-50 мм, температура льда 6..8 град. Количество игроков 15 чел, количество катающихся при массовом катании 60 человек. Температура заливаемой воды при обслуживании 55-60 град. Три режима эксплуатауии.
 </t>
  </si>
  <si>
    <t>Чиллер Для ледового катка (Размеры 6 м * 5 м)</t>
  </si>
  <si>
    <t xml:space="preserve">Каток(Срочно)Можно ли подобрать холодильник для маленького домашнего катка 30м2,Предполагаемое место устройства катка подвальное помещение площадью 30м2. с использованием айсматов. холодильная установка будет размещена в соседнем холодном помещении. Предоставить коммерческое предложение на холодильную машину (чиллер) для Ледового поля, размеры ледового поля 6*5 м, Назначение ледового поля – хоккей, фигурное катание, массовое катание, Холодоноситель для ледового поля - 40%-ый раствор этиленгликоля. Номинальная толщина льда 30-50 мм, температура льда 6..8 град. 
 </t>
  </si>
  <si>
    <t>xQ533</t>
  </si>
  <si>
    <t>1x28</t>
  </si>
  <si>
    <t>Chiller-Q533-1156-G  в сборе с комплектом автоматики, конденсаторным блок отдельно(размещение на крыше контейнера)(воздушный конденсатор 30 кВт ) На базе поршневых Frascold. В сборе с пластинчатым теплообменником SWEP. Корпусное модeльное исполнение(контейнерное). В сборе с Электронными ТРВ. Конденсаторный блок ECO(HeatCraft). Система Экономайзеров на каждый компрессор (пластинчатые теплообменники SWEP)</t>
  </si>
  <si>
    <t>Площадь:</t>
  </si>
  <si>
    <t>м2</t>
  </si>
  <si>
    <t>Chiller-2-V25103-7288-G  в сборе с комплектом автоматики, конденсаторным блок отдельно(размещение на крыше контейнера)(воздушный конденсатор 150 кВт ) На базе поршневых Frascold. В сборе с пластинчатым теплообменником SWEP. Корпусное модeльное исполнение(контейнерное). В сборе с Электронными ТРВ. Конденсаторный блок ECO(HeatCraft). Система Экономайзеров на каждый компрессор (пластинчатые теплообменники SWEP). Контейнерное исполнение</t>
  </si>
  <si>
    <t xml:space="preserve">Предоставить коммерческое предложение на холодильную машину (чиллер) для Ледового поля, по типовому заданию, Назначение ледового поля – хоккей, фигурное катание, массовое катание, Холодоноситель для ледового поля - 40%-ый раствор этиленгликоля. Номинальная толщина льда 30-50 мм, температура льда 6..8 град. Количество игроков 15 чел, количество катающихся при массовом катании 60 человек. Температура заливаемой воды при обслуживании 55-60 град. Три режима эксплуатауии.
 </t>
  </si>
  <si>
    <t>xBSR324</t>
  </si>
  <si>
    <t>Винтовой</t>
  </si>
  <si>
    <t>Chiller-2-BSR324-370-G  в сборе с комплектом автоматики, конденсаторным блок отдельно(воздушный конденсатор 800 кВт) На базе винтовых компрессоров в сборе с экономайзером. В сборе с кожухотрубным(либо пластинчатым) теплообменником. Открытое исполнение</t>
  </si>
  <si>
    <t>Chiller-2-BSR324-370-G  в сборе с комплектом автоматики, конденсаторным блок отдельно(воздушный конденсатор 800 кВт) На базе винтовых компрессоров в сборе с экономайзером. В сборе с кожухотрубным(либо пластинчатым) теплообменником. Открытое исполнение БУ</t>
  </si>
  <si>
    <t>Чиллер Для ледовой Арены (Размеры 32 м * 66 м)</t>
  </si>
  <si>
    <t>Чиллер для ледовой Арены на базе винтовых компрессоро Frascold (Италия)/Bitzer В модульном исполнении</t>
  </si>
  <si>
    <t>Гидромодуль для чиллера 135 м3/час на два насоса(сдвоенная система) На базе наосос Wilo</t>
  </si>
  <si>
    <t>Chiller-3-HSK(N)7471-90-402488-G  в сборе с комплектом автоматики, конденсаторным блок отдельно(размещение на крыше контейнера)(воздушный конденсатор 649 кВт ) На базе винтовых полугерметичных компрессоров Bitzer(Frascold). В сборе с кожухотрубным теплообменником. Корпусное модeльное исполнение(контейнерное). В сборе с Электронными ТРВ и экономайзерами.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</t>
  </si>
  <si>
    <t>Дополнительная Приточно-вытяжная система 5 м3/час с отоплением</t>
  </si>
  <si>
    <t xml:space="preserve">Предоставить коммерческое предложение на холодильную машину (чиллер) для Ледового поля, размеры ледового поля 32*72м, Назначение ледового поля – хоккей, фигурное катание, массовое катание, Холодоноситель для ледового поля - 40%-ый раствор этиленгликоля. Номинальная толщина льда 30-50 мм, температура льда 6..8 град. Количество игроков 50 чел, количество катающихся при массовом катании 150 человек. Температура заливаемой воды при обслуживании 55-60 град. Три режима эксплуатауии.
 </t>
  </si>
  <si>
    <t>Оборудование поставляется в контейнерном исполнении, полностью готове к работе. Данное оборудование можно перевозить и устанавливать на другом месте.Габаритные размеры модульного чиллера(холодильной машины) 12000*2400*2590</t>
  </si>
  <si>
    <t>Холодопроизводительность установки режим намораживания (Tk=-18 градусов) Tkond=45</t>
  </si>
  <si>
    <t>Номинальная холодопроизводительность (Tk=-20 градусов) Tkond=30</t>
  </si>
  <si>
    <t>Chiller-3-HSK(N)7471-90-402488-G  в сборе с комплектом автоматики, конденсаторным блок отдельно(размещение на крыше контейнера)(воздушный конденсатор 649 кВт ) На базе винтовых полугерметичных компрессоров Bitzer(Frascold). В сборе с кожухотрубным теплообменником. Корпусное модeльное исполнение(контейнерное). В сборе с Электронными ТРВ и экономайзерами. Рекуперативные теплообменники для систем кондиционирования Воздуха на базе пластинчатых теплообменников SWEP. Конденсаторный блок ECO(HeatCraft). Система Экономайзеров на каждый компрессор (пластинчатые теплообменники SWEP). БУ</t>
  </si>
  <si>
    <t>Новое оборудование (4 компрессора полугерметичных)</t>
  </si>
  <si>
    <t>Новое оборудование (2 полугерметичных поршневых компрессора)</t>
  </si>
  <si>
    <r>
      <t xml:space="preserve">Принцип работы чиллера для ледовой арены сводиться в намораживании достаточного слоя льда и его поддержания. Данный процесс происходит за счет забора тепла хладоносителем (раствор этиленглиполя при температуре -12 градусов), циркулирующим в основании бетонной плиты, на которой расположен каток. </t>
    </r>
    <r>
      <rPr>
        <b/>
        <i/>
        <sz val="11"/>
        <rFont val="Arial Cyr"/>
        <charset val="204"/>
      </rPr>
      <t>Стоит также обратить внимание на то, что половина мощности оборудования уходит на создание ледового слоя, а вторая половина мощности холодильного оборудования на поддержание льда</t>
    </r>
  </si>
  <si>
    <t>x W80 240</t>
  </si>
  <si>
    <t>507a/R404а</t>
  </si>
  <si>
    <t>Chiller-2-W80 240-192-G  в сборе с комплектом автоматики, конденсаторным блок отдельно(воздушный конденсатор 520 кВт) На базе поршневых компрессоров Frascold. В сборе с кожухотрубным теплообменником (двухзаходный теплообменник. Корпусное модульнуе исполнение</t>
  </si>
  <si>
    <t>Срок поставки оборудования 4-8 недель</t>
  </si>
  <si>
    <t>Гидромодуль для чиллера 75 м3/час (сдвоенный насос)</t>
  </si>
  <si>
    <t>Чиллер Для ледового катка (Размеры 6 м * 10 м)</t>
  </si>
  <si>
    <t>xQ736</t>
  </si>
  <si>
    <t>Холодопроизводительность (Ткип/Тконд= -18/+30), кВт</t>
  </si>
  <si>
    <t>1x35</t>
  </si>
  <si>
    <t>Chiller-Q733-1715-G  в сборе с комплектом автоматики, конденсаторным блок отдельно(размещение на крыше контейнера)(воздушный конденсатор 50 кВт ) На базе поршневых Frascold. В сборе с пластинчатым теплообменником SWEP. Корпусное модeльное исполнение(контейнерное). В сборе с Электронными ТРВ. Конденсаторный блок ECO(HeatCraft). Система Экономайзеров на каждый компрессор (пластинчатые теплообменники SWEP) БУ оборудвоание</t>
  </si>
  <si>
    <t xml:space="preserve">Гарантия на оборудование 1 год (бу оборудвоание), </t>
  </si>
  <si>
    <t>Срок поставки оборудования 5-7 недель</t>
  </si>
  <si>
    <t>Chiller-Q736-1715-G  в сборе с комплектом автоматики, конденсаторным блок отдельно(размещение на крыше контейнера)(воздушный конденсатор 50 кВт ) На базе поршневых Frascold. В сборе с пластинчатым теплообменником SWEP. Корпусное модeльное исполнение(контейнерное). В сборе с Электронными ТРВ. Конденсаторный блок ECO(HeatCraft). Система Экономайзеров на каждый компрессор (пластинчатые теплообменники SWEP)</t>
  </si>
  <si>
    <t>Гидромодуль для чиллера 30 м3/час На базе наосос Wilo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</si>
</sst>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4">
    <font>
      <sz val="10"/>
      <name val="Arial Cyr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i/>
      <sz val="11"/>
      <name val="Arial Cyr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11"/>
      <color indexed="8"/>
      <name val="??"/>
      <charset val="134"/>
    </font>
    <font>
      <u/>
      <sz val="10"/>
      <color indexed="12"/>
      <name val="Times New Roman Cyr"/>
      <charset val="204"/>
    </font>
    <font>
      <sz val="10"/>
      <name val="Times New Roman Cyr"/>
      <charset val="204"/>
    </font>
    <font>
      <sz val="12"/>
      <name val="??"/>
      <charset val="134"/>
    </font>
    <font>
      <b/>
      <sz val="20"/>
      <name val="Arial Cyr"/>
      <charset val="204"/>
    </font>
    <font>
      <b/>
      <sz val="16"/>
      <name val="Arial Cyr"/>
      <charset val="204"/>
    </font>
    <font>
      <b/>
      <sz val="18"/>
      <name val="Arial Cyr"/>
      <charset val="204"/>
    </font>
    <font>
      <sz val="18"/>
      <name val="Arial Cyr"/>
      <charset val="204"/>
    </font>
    <font>
      <b/>
      <i/>
      <sz val="12"/>
      <name val="Arial Cyr"/>
      <charset val="204"/>
    </font>
    <font>
      <i/>
      <sz val="10"/>
      <name val="Arial Cyr"/>
      <charset val="204"/>
    </font>
    <font>
      <i/>
      <sz val="11"/>
      <name val="Arial Cyr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b/>
      <u/>
      <sz val="1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0" fontId="6" fillId="0" borderId="0"/>
    <xf numFmtId="0" fontId="9" fillId="0" borderId="0"/>
    <xf numFmtId="0" fontId="10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9" fillId="0" borderId="0"/>
    <xf numFmtId="0" fontId="13" fillId="0" borderId="0">
      <alignment vertical="center"/>
    </xf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/>
  </cellStyleXfs>
  <cellXfs count="302">
    <xf numFmtId="0" fontId="0" fillId="0" borderId="0" xfId="0"/>
    <xf numFmtId="0" fontId="1" fillId="0" borderId="0" xfId="0" applyFont="1" applyBorder="1" applyAlignment="1">
      <alignment vertical="top" wrapText="1"/>
    </xf>
    <xf numFmtId="0" fontId="3" fillId="0" borderId="0" xfId="0" applyFont="1" applyBorder="1"/>
    <xf numFmtId="2" fontId="0" fillId="0" borderId="0" xfId="0" applyNumberFormat="1" applyBorder="1" applyAlignment="1">
      <alignment horizontal="lef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0" fontId="4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 applyBorder="1"/>
    <xf numFmtId="2" fontId="0" fillId="0" borderId="2" xfId="0" applyNumberFormat="1" applyBorder="1"/>
    <xf numFmtId="0" fontId="0" fillId="0" borderId="0" xfId="0"/>
    <xf numFmtId="2" fontId="0" fillId="0" borderId="0" xfId="0" applyNumberFormat="1"/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wrapText="1"/>
    </xf>
    <xf numFmtId="2" fontId="0" fillId="0" borderId="7" xfId="0" applyNumberFormat="1" applyBorder="1" applyAlignment="1">
      <alignment horizontal="right"/>
    </xf>
    <xf numFmtId="2" fontId="0" fillId="0" borderId="7" xfId="0" applyNumberFormat="1" applyBorder="1"/>
    <xf numFmtId="0" fontId="0" fillId="0" borderId="6" xfId="0" applyFont="1" applyFill="1" applyBorder="1" applyAlignment="1">
      <alignment wrapText="1"/>
    </xf>
    <xf numFmtId="2" fontId="0" fillId="0" borderId="8" xfId="0" applyNumberFormat="1" applyFont="1" applyBorder="1"/>
    <xf numFmtId="0" fontId="4" fillId="0" borderId="9" xfId="0" applyFont="1" applyFill="1" applyBorder="1"/>
    <xf numFmtId="2" fontId="0" fillId="0" borderId="10" xfId="0" applyNumberFormat="1" applyFill="1" applyBorder="1"/>
    <xf numFmtId="2" fontId="0" fillId="0" borderId="10" xfId="0" applyNumberFormat="1" applyBorder="1" applyAlignment="1">
      <alignment horizontal="right"/>
    </xf>
    <xf numFmtId="2" fontId="0" fillId="0" borderId="10" xfId="0" applyNumberFormat="1" applyBorder="1"/>
    <xf numFmtId="2" fontId="4" fillId="2" borderId="12" xfId="0" applyNumberFormat="1" applyFont="1" applyFill="1" applyBorder="1"/>
    <xf numFmtId="2" fontId="0" fillId="0" borderId="0" xfId="0" applyNumberFormat="1" applyBorder="1"/>
    <xf numFmtId="2" fontId="3" fillId="0" borderId="0" xfId="0" applyNumberFormat="1" applyFont="1" applyBorder="1"/>
    <xf numFmtId="2" fontId="0" fillId="0" borderId="11" xfId="0" applyNumberFormat="1" applyBorder="1"/>
    <xf numFmtId="0" fontId="4" fillId="3" borderId="5" xfId="0" applyFont="1" applyFill="1" applyBorder="1" applyAlignment="1">
      <alignment wrapText="1"/>
    </xf>
    <xf numFmtId="2" fontId="4" fillId="3" borderId="1" xfId="0" applyNumberFormat="1" applyFont="1" applyFill="1" applyBorder="1" applyAlignment="1">
      <alignment horizontal="right" wrapText="1"/>
    </xf>
    <xf numFmtId="164" fontId="4" fillId="3" borderId="1" xfId="0" applyNumberFormat="1" applyFont="1" applyFill="1" applyBorder="1" applyAlignment="1">
      <alignment horizontal="right" wrapText="1"/>
    </xf>
    <xf numFmtId="0" fontId="4" fillId="3" borderId="2" xfId="0" applyFont="1" applyFill="1" applyBorder="1" applyAlignment="1">
      <alignment horizontal="left" wrapText="1"/>
    </xf>
    <xf numFmtId="0" fontId="0" fillId="0" borderId="3" xfId="0" applyBorder="1" applyAlignment="1">
      <alignment wrapText="1"/>
    </xf>
    <xf numFmtId="2" fontId="0" fillId="0" borderId="0" xfId="0" applyNumberFormat="1" applyBorder="1" applyAlignment="1">
      <alignment horizontal="right" vertical="center"/>
    </xf>
    <xf numFmtId="0" fontId="4" fillId="0" borderId="5" xfId="0" applyFont="1" applyFill="1" applyBorder="1"/>
    <xf numFmtId="2" fontId="0" fillId="0" borderId="1" xfId="0" applyNumberFormat="1" applyBorder="1" applyAlignment="1">
      <alignment horizontal="center"/>
    </xf>
    <xf numFmtId="0" fontId="0" fillId="0" borderId="4" xfId="0" applyBorder="1" applyAlignment="1">
      <alignment horizontal="left" vertical="center" wrapText="1"/>
    </xf>
    <xf numFmtId="0" fontId="0" fillId="0" borderId="0" xfId="0" applyBorder="1" applyAlignment="1">
      <alignment horizontal="right" wrapText="1"/>
    </xf>
    <xf numFmtId="2" fontId="0" fillId="0" borderId="0" xfId="0" applyNumberFormat="1" applyBorder="1" applyAlignment="1">
      <alignment horizontal="center" wrapText="1"/>
    </xf>
    <xf numFmtId="0" fontId="0" fillId="0" borderId="9" xfId="0" applyFill="1" applyBorder="1" applyAlignment="1">
      <alignment wrapText="1"/>
    </xf>
    <xf numFmtId="1" fontId="0" fillId="0" borderId="4" xfId="0" applyNumberFormat="1" applyBorder="1" applyAlignment="1">
      <alignment horizontal="right"/>
    </xf>
    <xf numFmtId="1" fontId="0" fillId="0" borderId="4" xfId="0" applyNumberFormat="1" applyBorder="1" applyAlignment="1">
      <alignment horizontal="right" wrapText="1"/>
    </xf>
    <xf numFmtId="0" fontId="15" fillId="0" borderId="0" xfId="0" applyFont="1" applyBorder="1" applyAlignment="1">
      <alignment wrapText="1"/>
    </xf>
    <xf numFmtId="2" fontId="0" fillId="0" borderId="9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/>
    </xf>
    <xf numFmtId="0" fontId="0" fillId="0" borderId="10" xfId="0" applyFont="1" applyBorder="1" applyAlignment="1">
      <alignment wrapText="1"/>
    </xf>
    <xf numFmtId="2" fontId="0" fillId="0" borderId="13" xfId="0" applyNumberFormat="1" applyFont="1" applyFill="1" applyBorder="1" applyAlignment="1">
      <alignment horizontal="right" wrapText="1"/>
    </xf>
    <xf numFmtId="164" fontId="0" fillId="0" borderId="13" xfId="0" applyNumberFormat="1" applyFont="1" applyFill="1" applyBorder="1" applyAlignment="1">
      <alignment horizontal="right" wrapText="1"/>
    </xf>
    <xf numFmtId="2" fontId="0" fillId="0" borderId="13" xfId="0" applyNumberFormat="1" applyFont="1" applyFill="1" applyBorder="1" applyAlignment="1">
      <alignment wrapText="1"/>
    </xf>
    <xf numFmtId="0" fontId="0" fillId="0" borderId="14" xfId="0" applyFont="1" applyBorder="1" applyAlignment="1">
      <alignment wrapText="1"/>
    </xf>
    <xf numFmtId="2" fontId="0" fillId="0" borderId="15" xfId="0" applyNumberFormat="1" applyFont="1" applyFill="1" applyBorder="1" applyAlignment="1">
      <alignment wrapText="1"/>
    </xf>
    <xf numFmtId="2" fontId="0" fillId="0" borderId="0" xfId="0" applyNumberFormat="1" applyBorder="1" applyAlignment="1">
      <alignment horizontal="center"/>
    </xf>
    <xf numFmtId="1" fontId="0" fillId="0" borderId="1" xfId="0" applyNumberFormat="1" applyBorder="1" applyAlignment="1">
      <alignment horizontal="right" wrapText="1"/>
    </xf>
    <xf numFmtId="1" fontId="0" fillId="0" borderId="0" xfId="0" applyNumberFormat="1" applyBorder="1" applyAlignment="1">
      <alignment horizontal="right" wrapText="1"/>
    </xf>
    <xf numFmtId="2" fontId="0" fillId="0" borderId="3" xfId="0" applyNumberFormat="1" applyBorder="1" applyAlignment="1">
      <alignment horizontal="center" vertical="center" wrapText="1"/>
    </xf>
    <xf numFmtId="1" fontId="0" fillId="0" borderId="0" xfId="0" applyNumberFormat="1" applyFill="1" applyBorder="1"/>
    <xf numFmtId="2" fontId="0" fillId="0" borderId="0" xfId="0" applyNumberFormat="1" applyBorder="1" applyAlignment="1">
      <alignment horizontal="left" wrapText="1"/>
    </xf>
    <xf numFmtId="1" fontId="4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/>
    </xf>
    <xf numFmtId="2" fontId="0" fillId="0" borderId="3" xfId="0" applyNumberFormat="1" applyBorder="1"/>
    <xf numFmtId="0" fontId="0" fillId="0" borderId="4" xfId="0" applyFill="1" applyBorder="1" applyAlignment="1">
      <alignment wrapText="1"/>
    </xf>
    <xf numFmtId="0" fontId="4" fillId="0" borderId="4" xfId="0" applyFont="1" applyFill="1" applyBorder="1"/>
    <xf numFmtId="1" fontId="0" fillId="0" borderId="0" xfId="0" applyNumberFormat="1" applyBorder="1" applyAlignment="1">
      <alignment horizontal="right"/>
    </xf>
    <xf numFmtId="0" fontId="2" fillId="0" borderId="4" xfId="0" applyFont="1" applyBorder="1"/>
    <xf numFmtId="1" fontId="0" fillId="0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right" vertical="center"/>
    </xf>
    <xf numFmtId="0" fontId="4" fillId="4" borderId="5" xfId="0" applyFont="1" applyFill="1" applyBorder="1" applyAlignment="1">
      <alignment wrapText="1"/>
    </xf>
    <xf numFmtId="2" fontId="4" fillId="4" borderId="1" xfId="0" applyNumberFormat="1" applyFont="1" applyFill="1" applyBorder="1" applyAlignment="1">
      <alignment horizontal="right" wrapText="1"/>
    </xf>
    <xf numFmtId="164" fontId="4" fillId="4" borderId="1" xfId="0" applyNumberFormat="1" applyFont="1" applyFill="1" applyBorder="1" applyAlignment="1">
      <alignment horizontal="right" wrapText="1"/>
    </xf>
    <xf numFmtId="0" fontId="4" fillId="4" borderId="2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wrapText="1"/>
    </xf>
    <xf numFmtId="0" fontId="16" fillId="0" borderId="0" xfId="0" applyFont="1" applyAlignment="1">
      <alignment horizontal="right"/>
    </xf>
    <xf numFmtId="0" fontId="17" fillId="0" borderId="0" xfId="0" applyFont="1" applyBorder="1" applyAlignment="1">
      <alignment horizontal="center" vertical="center"/>
    </xf>
    <xf numFmtId="0" fontId="17" fillId="0" borderId="0" xfId="0" applyFont="1"/>
    <xf numFmtId="2" fontId="17" fillId="0" borderId="0" xfId="0" applyNumberFormat="1" applyFont="1"/>
    <xf numFmtId="2" fontId="4" fillId="5" borderId="16" xfId="0" applyNumberFormat="1" applyFont="1" applyFill="1" applyBorder="1"/>
    <xf numFmtId="0" fontId="4" fillId="0" borderId="0" xfId="0" applyFont="1" applyFill="1" applyBorder="1"/>
    <xf numFmtId="0" fontId="5" fillId="0" borderId="0" xfId="0" applyFon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2" fontId="0" fillId="0" borderId="0" xfId="0" applyNumberFormat="1" applyFill="1" applyBorder="1"/>
    <xf numFmtId="1" fontId="0" fillId="0" borderId="3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1" fontId="0" fillId="0" borderId="10" xfId="0" applyNumberFormat="1" applyBorder="1" applyAlignment="1">
      <alignment horizontal="right" wrapText="1"/>
    </xf>
    <xf numFmtId="1" fontId="0" fillId="0" borderId="10" xfId="0" applyNumberForma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9" xfId="0" applyBorder="1" applyAlignment="1">
      <alignment wrapText="1"/>
    </xf>
    <xf numFmtId="0" fontId="20" fillId="0" borderId="17" xfId="0" applyFont="1" applyBorder="1" applyAlignment="1">
      <alignment wrapText="1"/>
    </xf>
    <xf numFmtId="0" fontId="0" fillId="5" borderId="7" xfId="0" applyFont="1" applyFill="1" applyBorder="1" applyAlignment="1"/>
    <xf numFmtId="0" fontId="0" fillId="5" borderId="8" xfId="0" applyFont="1" applyFill="1" applyBorder="1" applyAlignment="1"/>
    <xf numFmtId="0" fontId="7" fillId="5" borderId="6" xfId="0" applyFont="1" applyFill="1" applyBorder="1" applyAlignment="1">
      <alignment wrapText="1"/>
    </xf>
    <xf numFmtId="0" fontId="0" fillId="0" borderId="19" xfId="0" applyFont="1" applyBorder="1" applyAlignment="1">
      <alignment wrapText="1"/>
    </xf>
    <xf numFmtId="2" fontId="0" fillId="0" borderId="20" xfId="0" applyNumberFormat="1" applyFont="1" applyFill="1" applyBorder="1" applyAlignment="1">
      <alignment horizontal="right" wrapText="1"/>
    </xf>
    <xf numFmtId="164" fontId="0" fillId="0" borderId="20" xfId="0" applyNumberFormat="1" applyFont="1" applyFill="1" applyBorder="1" applyAlignment="1">
      <alignment horizontal="right" wrapText="1"/>
    </xf>
    <xf numFmtId="2" fontId="0" fillId="0" borderId="20" xfId="0" applyNumberFormat="1" applyFont="1" applyFill="1" applyBorder="1" applyAlignment="1">
      <alignment wrapText="1"/>
    </xf>
    <xf numFmtId="2" fontId="0" fillId="0" borderId="21" xfId="0" applyNumberFormat="1" applyFont="1" applyFill="1" applyBorder="1" applyAlignment="1">
      <alignment wrapText="1"/>
    </xf>
    <xf numFmtId="0" fontId="0" fillId="0" borderId="22" xfId="0" applyFont="1" applyBorder="1" applyAlignment="1">
      <alignment wrapText="1"/>
    </xf>
    <xf numFmtId="2" fontId="0" fillId="0" borderId="23" xfId="0" applyNumberFormat="1" applyFont="1" applyFill="1" applyBorder="1" applyAlignment="1">
      <alignment horizontal="right" wrapText="1"/>
    </xf>
    <xf numFmtId="164" fontId="0" fillId="0" borderId="23" xfId="0" applyNumberFormat="1" applyFont="1" applyFill="1" applyBorder="1" applyAlignment="1">
      <alignment horizontal="right" wrapText="1"/>
    </xf>
    <xf numFmtId="2" fontId="0" fillId="0" borderId="23" xfId="0" applyNumberFormat="1" applyFont="1" applyFill="1" applyBorder="1" applyAlignment="1">
      <alignment wrapText="1"/>
    </xf>
    <xf numFmtId="2" fontId="0" fillId="0" borderId="24" xfId="0" applyNumberFormat="1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Alignment="1"/>
    <xf numFmtId="0" fontId="8" fillId="0" borderId="0" xfId="0" applyFont="1" applyAlignment="1">
      <alignment horizontal="left" vertical="center" wrapText="1"/>
    </xf>
    <xf numFmtId="0" fontId="0" fillId="0" borderId="0" xfId="0" applyBorder="1" applyAlignment="1">
      <alignment horizontal="center" wrapText="1"/>
    </xf>
    <xf numFmtId="2" fontId="0" fillId="0" borderId="0" xfId="0" applyNumberFormat="1" applyBorder="1" applyAlignment="1">
      <alignment horizontal="right" wrapText="1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2" fontId="0" fillId="0" borderId="0" xfId="0" applyNumberFormat="1" applyBorder="1" applyAlignment="1">
      <alignment horizontal="right" wrapText="1"/>
    </xf>
    <xf numFmtId="1" fontId="4" fillId="0" borderId="0" xfId="0" applyNumberFormat="1" applyFont="1" applyBorder="1" applyAlignment="1">
      <alignment horizontal="center"/>
    </xf>
    <xf numFmtId="4" fontId="0" fillId="0" borderId="3" xfId="0" applyNumberFormat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2" fontId="0" fillId="0" borderId="0" xfId="0" applyNumberFormat="1" applyAlignment="1">
      <alignment horizontal="right" wrapText="1"/>
    </xf>
    <xf numFmtId="4" fontId="0" fillId="0" borderId="0" xfId="0" applyNumberFormat="1" applyBorder="1" applyAlignment="1">
      <alignment horizontal="center" vertical="center" wrapText="1"/>
    </xf>
    <xf numFmtId="2" fontId="22" fillId="0" borderId="3" xfId="0" applyNumberFormat="1" applyFont="1" applyBorder="1" applyAlignment="1">
      <alignment horizontal="right" vertical="top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2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wrapText="1"/>
    </xf>
    <xf numFmtId="1" fontId="4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vertical="center" wrapText="1"/>
    </xf>
    <xf numFmtId="0" fontId="0" fillId="0" borderId="0" xfId="0" applyAlignment="1"/>
    <xf numFmtId="0" fontId="0" fillId="0" borderId="0" xfId="0" applyFill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0" fillId="0" borderId="0" xfId="0" applyFill="1" applyBorder="1" applyAlignment="1">
      <alignment wrapText="1"/>
    </xf>
    <xf numFmtId="0" fontId="0" fillId="0" borderId="0" xfId="0" applyAlignment="1"/>
    <xf numFmtId="0" fontId="8" fillId="0" borderId="0" xfId="0" applyFont="1" applyAlignment="1">
      <alignment horizontal="left" vertical="center" wrapText="1"/>
    </xf>
    <xf numFmtId="0" fontId="0" fillId="0" borderId="0" xfId="0" applyBorder="1" applyAlignment="1">
      <alignment horizontal="center" wrapText="1"/>
    </xf>
    <xf numFmtId="2" fontId="0" fillId="0" borderId="0" xfId="0" applyNumberFormat="1" applyBorder="1" applyAlignment="1">
      <alignment horizontal="right" wrapText="1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4" fillId="3" borderId="6" xfId="0" applyFont="1" applyFill="1" applyBorder="1" applyAlignment="1">
      <alignment wrapText="1"/>
    </xf>
    <xf numFmtId="2" fontId="4" fillId="3" borderId="7" xfId="0" applyNumberFormat="1" applyFont="1" applyFill="1" applyBorder="1" applyAlignment="1">
      <alignment horizontal="right" wrapText="1"/>
    </xf>
    <xf numFmtId="164" fontId="4" fillId="3" borderId="7" xfId="0" applyNumberFormat="1" applyFont="1" applyFill="1" applyBorder="1" applyAlignment="1">
      <alignment horizontal="right" wrapText="1"/>
    </xf>
    <xf numFmtId="0" fontId="4" fillId="3" borderId="8" xfId="0" applyFont="1" applyFill="1" applyBorder="1" applyAlignment="1">
      <alignment horizontal="left" wrapText="1"/>
    </xf>
    <xf numFmtId="2" fontId="0" fillId="0" borderId="0" xfId="0" applyNumberFormat="1" applyAlignment="1">
      <alignment horizontal="center" vertical="center"/>
    </xf>
    <xf numFmtId="2" fontId="17" fillId="0" borderId="0" xfId="0" applyNumberFormat="1" applyFont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0" fontId="23" fillId="0" borderId="4" xfId="0" applyFont="1" applyFill="1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wrapText="1"/>
    </xf>
    <xf numFmtId="2" fontId="0" fillId="0" borderId="25" xfId="0" applyNumberFormat="1" applyFont="1" applyFill="1" applyBorder="1" applyAlignment="1">
      <alignment wrapText="1"/>
    </xf>
    <xf numFmtId="2" fontId="4" fillId="2" borderId="16" xfId="0" applyNumberFormat="1" applyFont="1" applyFill="1" applyBorder="1"/>
    <xf numFmtId="0" fontId="4" fillId="0" borderId="0" xfId="0" applyFont="1" applyBorder="1" applyAlignment="1">
      <alignment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left" vertical="center" wrapText="1"/>
    </xf>
    <xf numFmtId="0" fontId="0" fillId="2" borderId="5" xfId="0" applyFill="1" applyBorder="1" applyAlignment="1">
      <alignment wrapText="1"/>
    </xf>
    <xf numFmtId="1" fontId="0" fillId="2" borderId="1" xfId="0" applyNumberFormat="1" applyFill="1" applyBorder="1" applyAlignment="1">
      <alignment horizontal="right" wrapText="1"/>
    </xf>
    <xf numFmtId="2" fontId="4" fillId="2" borderId="26" xfId="0" applyNumberFormat="1" applyFont="1" applyFill="1" applyBorder="1" applyAlignment="1">
      <alignment horizontal="right" wrapText="1"/>
    </xf>
    <xf numFmtId="0" fontId="0" fillId="2" borderId="1" xfId="0" applyFill="1" applyBorder="1" applyAlignment="1">
      <alignment horizontal="center" wrapText="1"/>
    </xf>
    <xf numFmtId="0" fontId="0" fillId="2" borderId="2" xfId="0" applyFill="1" applyBorder="1" applyAlignment="1">
      <alignment wrapText="1"/>
    </xf>
    <xf numFmtId="0" fontId="0" fillId="2" borderId="9" xfId="0" applyFill="1" applyBorder="1" applyAlignment="1">
      <alignment wrapText="1"/>
    </xf>
    <xf numFmtId="1" fontId="0" fillId="2" borderId="10" xfId="0" applyNumberFormat="1" applyFill="1" applyBorder="1" applyAlignment="1">
      <alignment horizontal="right" wrapText="1"/>
    </xf>
    <xf numFmtId="2" fontId="4" fillId="2" borderId="12" xfId="0" applyNumberFormat="1" applyFont="1" applyFill="1" applyBorder="1" applyAlignment="1">
      <alignment horizontal="right" wrapText="1"/>
    </xf>
    <xf numFmtId="0" fontId="0" fillId="2" borderId="10" xfId="0" applyFill="1" applyBorder="1" applyAlignment="1">
      <alignment horizontal="center" wrapText="1"/>
    </xf>
    <xf numFmtId="0" fontId="0" fillId="2" borderId="11" xfId="0" applyFill="1" applyBorder="1" applyAlignment="1">
      <alignment wrapText="1"/>
    </xf>
    <xf numFmtId="0" fontId="0" fillId="0" borderId="19" xfId="0" applyFont="1" applyBorder="1" applyAlignment="1">
      <alignment vertical="center" wrapText="1"/>
    </xf>
    <xf numFmtId="2" fontId="0" fillId="0" borderId="20" xfId="0" applyNumberFormat="1" applyFont="1" applyFill="1" applyBorder="1" applyAlignment="1">
      <alignment vertical="center" wrapText="1"/>
    </xf>
    <xf numFmtId="4" fontId="0" fillId="0" borderId="20" xfId="0" applyNumberFormat="1" applyFont="1" applyFill="1" applyBorder="1" applyAlignment="1">
      <alignment horizontal="right" wrapText="1"/>
    </xf>
    <xf numFmtId="4" fontId="0" fillId="0" borderId="21" xfId="0" applyNumberFormat="1" applyFont="1" applyFill="1" applyBorder="1" applyAlignment="1">
      <alignment horizontal="right" wrapText="1"/>
    </xf>
    <xf numFmtId="2" fontId="0" fillId="0" borderId="0" xfId="0" applyNumberFormat="1" applyFont="1"/>
    <xf numFmtId="0" fontId="0" fillId="0" borderId="0" xfId="0" applyFont="1"/>
    <xf numFmtId="0" fontId="0" fillId="0" borderId="14" xfId="0" applyFont="1" applyBorder="1" applyAlignment="1">
      <alignment vertical="center" wrapText="1"/>
    </xf>
    <xf numFmtId="2" fontId="0" fillId="0" borderId="13" xfId="0" applyNumberFormat="1" applyFont="1" applyFill="1" applyBorder="1" applyAlignment="1">
      <alignment vertical="center" wrapText="1"/>
    </xf>
    <xf numFmtId="4" fontId="0" fillId="0" borderId="13" xfId="0" applyNumberFormat="1" applyFont="1" applyFill="1" applyBorder="1" applyAlignment="1">
      <alignment horizontal="right" wrapText="1"/>
    </xf>
    <xf numFmtId="4" fontId="0" fillId="0" borderId="15" xfId="0" applyNumberFormat="1" applyFont="1" applyFill="1" applyBorder="1" applyAlignment="1">
      <alignment horizontal="right" wrapText="1"/>
    </xf>
    <xf numFmtId="0" fontId="0" fillId="0" borderId="22" xfId="0" applyFont="1" applyBorder="1" applyAlignment="1">
      <alignment vertical="center" wrapText="1"/>
    </xf>
    <xf numFmtId="2" fontId="0" fillId="0" borderId="23" xfId="0" applyNumberFormat="1" applyFont="1" applyFill="1" applyBorder="1" applyAlignment="1">
      <alignment vertical="center" wrapText="1"/>
    </xf>
    <xf numFmtId="4" fontId="0" fillId="0" borderId="23" xfId="0" applyNumberFormat="1" applyFont="1" applyFill="1" applyBorder="1" applyAlignment="1">
      <alignment horizontal="right" wrapText="1"/>
    </xf>
    <xf numFmtId="4" fontId="0" fillId="0" borderId="24" xfId="0" applyNumberFormat="1" applyFont="1" applyFill="1" applyBorder="1" applyAlignment="1">
      <alignment horizontal="right" wrapText="1"/>
    </xf>
    <xf numFmtId="0" fontId="4" fillId="0" borderId="9" xfId="0" applyFont="1" applyFill="1" applyBorder="1" applyAlignment="1">
      <alignment vertical="center"/>
    </xf>
    <xf numFmtId="2" fontId="0" fillId="0" borderId="10" xfId="0" applyNumberFormat="1" applyFont="1" applyFill="1" applyBorder="1" applyAlignment="1">
      <alignment vertical="center"/>
    </xf>
    <xf numFmtId="2" fontId="0" fillId="0" borderId="10" xfId="0" applyNumberFormat="1" applyFont="1" applyBorder="1" applyAlignment="1">
      <alignment vertical="center"/>
    </xf>
    <xf numFmtId="4" fontId="0" fillId="0" borderId="10" xfId="0" applyNumberFormat="1" applyFont="1" applyBorder="1" applyAlignment="1">
      <alignment horizontal="right"/>
    </xf>
    <xf numFmtId="4" fontId="4" fillId="2" borderId="12" xfId="0" applyNumberFormat="1" applyFont="1" applyFill="1" applyBorder="1" applyAlignment="1">
      <alignment horizontal="right"/>
    </xf>
    <xf numFmtId="0" fontId="0" fillId="0" borderId="6" xfId="0" applyFont="1" applyFill="1" applyBorder="1" applyAlignment="1">
      <alignment vertical="center" wrapText="1"/>
    </xf>
    <xf numFmtId="2" fontId="0" fillId="0" borderId="7" xfId="0" applyNumberFormat="1" applyFont="1" applyBorder="1" applyAlignment="1">
      <alignment vertical="center"/>
    </xf>
    <xf numFmtId="4" fontId="0" fillId="0" borderId="7" xfId="0" applyNumberFormat="1" applyFont="1" applyBorder="1" applyAlignment="1">
      <alignment horizontal="right"/>
    </xf>
    <xf numFmtId="4" fontId="4" fillId="0" borderId="8" xfId="0" applyNumberFormat="1" applyFont="1" applyBorder="1" applyAlignment="1">
      <alignment horizontal="right"/>
    </xf>
    <xf numFmtId="2" fontId="0" fillId="0" borderId="7" xfId="0" applyNumberFormat="1" applyFont="1" applyBorder="1" applyAlignment="1">
      <alignment horizontal="center" vertical="center"/>
    </xf>
    <xf numFmtId="4" fontId="4" fillId="5" borderId="16" xfId="0" applyNumberFormat="1" applyFont="1" applyFill="1" applyBorder="1" applyAlignment="1">
      <alignment horizontal="right"/>
    </xf>
    <xf numFmtId="2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2" fontId="0" fillId="2" borderId="1" xfId="0" applyNumberFormat="1" applyFill="1" applyBorder="1" applyAlignment="1">
      <alignment horizontal="center" vertical="center" wrapText="1"/>
    </xf>
    <xf numFmtId="2" fontId="0" fillId="2" borderId="2" xfId="0" applyNumberFormat="1" applyFill="1" applyBorder="1" applyAlignment="1">
      <alignment horizontal="center" vertical="center" wrapText="1"/>
    </xf>
    <xf numFmtId="2" fontId="0" fillId="2" borderId="10" xfId="0" applyNumberFormat="1" applyFill="1" applyBorder="1" applyAlignment="1">
      <alignment horizontal="center" vertical="center" wrapText="1"/>
    </xf>
    <xf numFmtId="4" fontId="0" fillId="2" borderId="11" xfId="0" applyNumberForma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wrapText="1"/>
    </xf>
    <xf numFmtId="0" fontId="4" fillId="2" borderId="9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2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5" fillId="0" borderId="0" xfId="0" applyFont="1" applyBorder="1" applyAlignment="1">
      <alignment vertical="center" wrapText="1"/>
    </xf>
    <xf numFmtId="0" fontId="0" fillId="0" borderId="0" xfId="0" applyAlignment="1"/>
    <xf numFmtId="0" fontId="0" fillId="0" borderId="0" xfId="0" applyFill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0" fillId="0" borderId="5" xfId="0" applyFill="1" applyBorder="1" applyAlignment="1">
      <alignment wrapText="1"/>
    </xf>
    <xf numFmtId="2" fontId="0" fillId="0" borderId="1" xfId="0" applyNumberFormat="1" applyBorder="1"/>
    <xf numFmtId="2" fontId="0" fillId="0" borderId="1" xfId="0" applyNumberFormat="1" applyBorder="1" applyAlignment="1">
      <alignment horizontal="right"/>
    </xf>
    <xf numFmtId="0" fontId="0" fillId="0" borderId="9" xfId="0" applyBorder="1"/>
    <xf numFmtId="2" fontId="4" fillId="0" borderId="0" xfId="0" applyNumberFormat="1" applyFont="1"/>
    <xf numFmtId="2" fontId="4" fillId="0" borderId="0" xfId="0" applyNumberFormat="1" applyFont="1" applyAlignment="1">
      <alignment horizontal="right"/>
    </xf>
    <xf numFmtId="0" fontId="0" fillId="0" borderId="0" xfId="0" applyFill="1" applyBorder="1" applyAlignment="1">
      <alignment wrapText="1"/>
    </xf>
    <xf numFmtId="0" fontId="0" fillId="0" borderId="0" xfId="0" applyAlignment="1"/>
    <xf numFmtId="0" fontId="8" fillId="0" borderId="0" xfId="0" applyFont="1" applyAlignment="1">
      <alignment horizontal="left" vertical="center" wrapText="1"/>
    </xf>
    <xf numFmtId="0" fontId="0" fillId="0" borderId="0" xfId="0" applyBorder="1" applyAlignment="1">
      <alignment horizontal="center" wrapText="1"/>
    </xf>
    <xf numFmtId="2" fontId="0" fillId="0" borderId="0" xfId="0" applyNumberFormat="1" applyBorder="1" applyAlignment="1">
      <alignment horizontal="right" wrapText="1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2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5" fillId="0" borderId="0" xfId="0" applyFont="1" applyBorder="1" applyAlignment="1">
      <alignment vertical="center" wrapText="1"/>
    </xf>
    <xf numFmtId="0" fontId="0" fillId="0" borderId="0" xfId="0" applyAlignment="1"/>
    <xf numFmtId="0" fontId="0" fillId="0" borderId="0" xfId="0" applyFill="1" applyBorder="1" applyAlignment="1">
      <alignment wrapText="1"/>
    </xf>
    <xf numFmtId="0" fontId="8" fillId="0" borderId="0" xfId="0" applyFont="1" applyAlignment="1">
      <alignment horizontal="left" vertical="center" wrapText="1"/>
    </xf>
    <xf numFmtId="2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5" fillId="0" borderId="0" xfId="0" applyFont="1" applyBorder="1" applyAlignment="1">
      <alignment vertical="center" wrapText="1"/>
    </xf>
    <xf numFmtId="0" fontId="0" fillId="0" borderId="0" xfId="0" applyAlignment="1"/>
    <xf numFmtId="0" fontId="0" fillId="0" borderId="0" xfId="0" applyFill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0" fillId="0" borderId="0" xfId="0" applyFill="1" applyBorder="1" applyAlignment="1">
      <alignment wrapText="1"/>
    </xf>
    <xf numFmtId="0" fontId="0" fillId="0" borderId="0" xfId="0" applyAlignment="1"/>
    <xf numFmtId="0" fontId="8" fillId="0" borderId="0" xfId="0" applyFont="1" applyAlignment="1">
      <alignment horizontal="left" vertical="center" wrapText="1"/>
    </xf>
    <xf numFmtId="0" fontId="0" fillId="0" borderId="0" xfId="0" applyBorder="1" applyAlignment="1">
      <alignment horizontal="center" wrapText="1"/>
    </xf>
    <xf numFmtId="2" fontId="0" fillId="0" borderId="0" xfId="0" applyNumberFormat="1" applyBorder="1" applyAlignment="1">
      <alignment horizontal="right" wrapText="1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2" fontId="0" fillId="0" borderId="0" xfId="0" applyNumberFormat="1" applyBorder="1" applyAlignment="1">
      <alignment horizontal="right" wrapText="1"/>
    </xf>
    <xf numFmtId="0" fontId="0" fillId="0" borderId="0" xfId="0" applyBorder="1" applyAlignment="1">
      <alignment wrapText="1"/>
    </xf>
    <xf numFmtId="1" fontId="4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5" fillId="0" borderId="0" xfId="0" applyFont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0" fillId="0" borderId="0" xfId="0" applyAlignment="1"/>
    <xf numFmtId="0" fontId="8" fillId="0" borderId="0" xfId="0" applyFont="1" applyAlignment="1">
      <alignment horizontal="left" vertical="center" wrapText="1"/>
    </xf>
    <xf numFmtId="0" fontId="0" fillId="0" borderId="0" xfId="0" applyBorder="1" applyAlignment="1">
      <alignment horizontal="center" wrapText="1"/>
    </xf>
    <xf numFmtId="2" fontId="0" fillId="0" borderId="0" xfId="0" applyNumberFormat="1" applyBorder="1" applyAlignment="1">
      <alignment horizontal="right" wrapText="1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wrapText="1"/>
    </xf>
    <xf numFmtId="0" fontId="2" fillId="0" borderId="0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/>
    <xf numFmtId="2" fontId="4" fillId="0" borderId="0" xfId="0" applyNumberFormat="1" applyFont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/>
    <xf numFmtId="0" fontId="15" fillId="2" borderId="6" xfId="0" applyFont="1" applyFill="1" applyBorder="1" applyAlignment="1">
      <alignment wrapText="1"/>
    </xf>
    <xf numFmtId="0" fontId="15" fillId="2" borderId="7" xfId="0" applyFont="1" applyFill="1" applyBorder="1" applyAlignment="1">
      <alignment wrapText="1"/>
    </xf>
    <xf numFmtId="0" fontId="15" fillId="2" borderId="8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8" xfId="0" applyFont="1" applyBorder="1" applyAlignment="1">
      <alignment wrapText="1"/>
    </xf>
    <xf numFmtId="1" fontId="4" fillId="0" borderId="5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2" fontId="0" fillId="0" borderId="4" xfId="0" applyNumberFormat="1" applyBorder="1" applyAlignment="1">
      <alignment horizontal="right" wrapText="1"/>
    </xf>
    <xf numFmtId="2" fontId="0" fillId="0" borderId="0" xfId="0" applyNumberFormat="1" applyBorder="1" applyAlignment="1">
      <alignment horizontal="right" wrapText="1"/>
    </xf>
    <xf numFmtId="0" fontId="0" fillId="0" borderId="0" xfId="0" applyAlignment="1">
      <alignment vertical="top" wrapText="1"/>
    </xf>
    <xf numFmtId="0" fontId="5" fillId="0" borderId="0" xfId="0" applyFont="1" applyBorder="1" applyAlignment="1">
      <alignment vertical="center" wrapText="1"/>
    </xf>
    <xf numFmtId="0" fontId="18" fillId="0" borderId="0" xfId="0" applyFont="1" applyBorder="1" applyAlignment="1">
      <alignment vertical="center" wrapText="1"/>
    </xf>
    <xf numFmtId="0" fontId="19" fillId="0" borderId="0" xfId="0" applyFont="1" applyAlignment="1"/>
    <xf numFmtId="0" fontId="9" fillId="4" borderId="18" xfId="0" applyFont="1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1" fillId="0" borderId="6" xfId="12" applyBorder="1" applyAlignment="1"/>
    <xf numFmtId="0" fontId="0" fillId="0" borderId="8" xfId="0" applyBorder="1" applyAlignment="1"/>
    <xf numFmtId="0" fontId="0" fillId="0" borderId="0" xfId="0" applyBorder="1" applyAlignment="1">
      <alignment wrapText="1"/>
    </xf>
    <xf numFmtId="0" fontId="20" fillId="0" borderId="0" xfId="0" applyFont="1" applyAlignment="1">
      <alignment wrapText="1"/>
    </xf>
    <xf numFmtId="0" fontId="0" fillId="0" borderId="0" xfId="0" applyFont="1" applyAlignment="1"/>
    <xf numFmtId="0" fontId="19" fillId="0" borderId="6" xfId="0" applyFont="1" applyFill="1" applyBorder="1" applyAlignment="1">
      <alignment vertical="center" wrapText="1"/>
    </xf>
    <xf numFmtId="0" fontId="19" fillId="0" borderId="7" xfId="0" applyFont="1" applyBorder="1" applyAlignment="1">
      <alignment vertical="center" wrapText="1"/>
    </xf>
    <xf numFmtId="0" fontId="19" fillId="0" borderId="8" xfId="0" applyFont="1" applyBorder="1" applyAlignment="1">
      <alignment vertical="center" wrapText="1"/>
    </xf>
    <xf numFmtId="0" fontId="19" fillId="0" borderId="4" xfId="0" applyFont="1" applyFill="1" applyBorder="1" applyAlignment="1">
      <alignment vertical="center" wrapText="1"/>
    </xf>
    <xf numFmtId="0" fontId="19" fillId="0" borderId="0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1" fontId="4" fillId="0" borderId="0" xfId="0" applyNumberFormat="1" applyFont="1" applyBorder="1" applyAlignment="1">
      <alignment horizontal="center"/>
    </xf>
    <xf numFmtId="0" fontId="21" fillId="0" borderId="6" xfId="12" applyBorder="1" applyAlignment="1">
      <alignment wrapText="1"/>
    </xf>
    <xf numFmtId="0" fontId="19" fillId="0" borderId="9" xfId="0" applyFont="1" applyFill="1" applyBorder="1" applyAlignment="1">
      <alignment vertical="center" wrapText="1"/>
    </xf>
    <xf numFmtId="0" fontId="19" fillId="0" borderId="10" xfId="0" applyFont="1" applyBorder="1" applyAlignment="1">
      <alignment vertical="center" wrapText="1"/>
    </xf>
    <xf numFmtId="0" fontId="19" fillId="0" borderId="11" xfId="0" applyFont="1" applyBorder="1" applyAlignment="1">
      <alignment vertical="center" wrapText="1"/>
    </xf>
    <xf numFmtId="2" fontId="0" fillId="0" borderId="1" xfId="0" applyNumberFormat="1" applyBorder="1" applyAlignment="1">
      <alignment horizontal="center" wrapText="1"/>
    </xf>
    <xf numFmtId="2" fontId="0" fillId="0" borderId="2" xfId="0" applyNumberFormat="1" applyBorder="1" applyAlignment="1">
      <alignment horizontal="center" wrapText="1"/>
    </xf>
  </cellXfs>
  <cellStyles count="13">
    <cellStyle name="?? 2" xfId="2"/>
    <cellStyle name="?? 3" xfId="3"/>
    <cellStyle name="??? 2" xfId="4"/>
    <cellStyle name="??_Копия ??CHINT прайс лист 2010 Октября - копия" xfId="5"/>
    <cellStyle name="Excel Built-in Normal" xfId="1"/>
    <cellStyle name="Гиперссылка" xfId="12" builtinId="8"/>
    <cellStyle name="Гиперссылка 2" xfId="6"/>
    <cellStyle name="Обычный" xfId="0" builtinId="0"/>
    <cellStyle name="Обычный 2" xfId="7"/>
    <cellStyle name="Обычный 3" xfId="8"/>
    <cellStyle name="Обычный 4" xfId="9"/>
    <cellStyle name="Процентный 2" xfId="10"/>
    <cellStyle name="Процентный 3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1809750</xdr:rowOff>
    </xdr:from>
    <xdr:to>
      <xdr:col>1</xdr:col>
      <xdr:colOff>3124200</xdr:colOff>
      <xdr:row>26</xdr:row>
      <xdr:rowOff>16668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962650"/>
          <a:ext cx="3095625" cy="232171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97</xdr:row>
      <xdr:rowOff>57149</xdr:rowOff>
    </xdr:from>
    <xdr:to>
      <xdr:col>5</xdr:col>
      <xdr:colOff>790575</xdr:colOff>
      <xdr:row>127</xdr:row>
      <xdr:rowOff>108593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5460324"/>
          <a:ext cx="7096126" cy="49091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531281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531281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22</xdr:row>
      <xdr:rowOff>28575</xdr:rowOff>
    </xdr:from>
    <xdr:to>
      <xdr:col>1</xdr:col>
      <xdr:colOff>3152775</xdr:colOff>
      <xdr:row>22</xdr:row>
      <xdr:rowOff>2183349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6067425"/>
          <a:ext cx="3114676" cy="2154774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10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531281</xdr:colOff>
      <xdr:row>21</xdr:row>
      <xdr:rowOff>1778199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88</xdr:row>
      <xdr:rowOff>57150</xdr:rowOff>
    </xdr:from>
    <xdr:to>
      <xdr:col>5</xdr:col>
      <xdr:colOff>593724</xdr:colOff>
      <xdr:row>122</xdr:row>
      <xdr:rowOff>9524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7870150"/>
          <a:ext cx="7061199" cy="52958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146</xdr:row>
      <xdr:rowOff>28575</xdr:rowOff>
    </xdr:from>
    <xdr:to>
      <xdr:col>3</xdr:col>
      <xdr:colOff>828675</xdr:colOff>
      <xdr:row>171</xdr:row>
      <xdr:rowOff>109538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37233225"/>
          <a:ext cx="5505451" cy="412908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531281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531281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22</xdr:row>
      <xdr:rowOff>28575</xdr:rowOff>
    </xdr:from>
    <xdr:to>
      <xdr:col>1</xdr:col>
      <xdr:colOff>3152775</xdr:colOff>
      <xdr:row>22</xdr:row>
      <xdr:rowOff>2183349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6067425"/>
          <a:ext cx="3114676" cy="2154774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9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531281</xdr:colOff>
      <xdr:row>21</xdr:row>
      <xdr:rowOff>1778199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90</xdr:row>
      <xdr:rowOff>57150</xdr:rowOff>
    </xdr:from>
    <xdr:to>
      <xdr:col>5</xdr:col>
      <xdr:colOff>593724</xdr:colOff>
      <xdr:row>124</xdr:row>
      <xdr:rowOff>9524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6155650"/>
          <a:ext cx="7061199" cy="52958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148</xdr:row>
      <xdr:rowOff>28575</xdr:rowOff>
    </xdr:from>
    <xdr:to>
      <xdr:col>3</xdr:col>
      <xdr:colOff>828675</xdr:colOff>
      <xdr:row>173</xdr:row>
      <xdr:rowOff>109538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35356800"/>
          <a:ext cx="5505451" cy="41290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531281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531281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22</xdr:row>
      <xdr:rowOff>28575</xdr:rowOff>
    </xdr:from>
    <xdr:to>
      <xdr:col>1</xdr:col>
      <xdr:colOff>3152775</xdr:colOff>
      <xdr:row>22</xdr:row>
      <xdr:rowOff>2183349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6067425"/>
          <a:ext cx="3114676" cy="2154774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9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531281</xdr:colOff>
      <xdr:row>21</xdr:row>
      <xdr:rowOff>1778199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87</xdr:row>
      <xdr:rowOff>57150</xdr:rowOff>
    </xdr:from>
    <xdr:to>
      <xdr:col>5</xdr:col>
      <xdr:colOff>593724</xdr:colOff>
      <xdr:row>121</xdr:row>
      <xdr:rowOff>9524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6155650"/>
          <a:ext cx="7061199" cy="52958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145</xdr:row>
      <xdr:rowOff>28575</xdr:rowOff>
    </xdr:from>
    <xdr:to>
      <xdr:col>3</xdr:col>
      <xdr:colOff>828675</xdr:colOff>
      <xdr:row>170</xdr:row>
      <xdr:rowOff>109538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35356800"/>
          <a:ext cx="5505451" cy="41290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1809750</xdr:rowOff>
    </xdr:from>
    <xdr:to>
      <xdr:col>1</xdr:col>
      <xdr:colOff>3124200</xdr:colOff>
      <xdr:row>26</xdr:row>
      <xdr:rowOff>16668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962650"/>
          <a:ext cx="3095625" cy="232171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97</xdr:row>
      <xdr:rowOff>57149</xdr:rowOff>
    </xdr:from>
    <xdr:to>
      <xdr:col>5</xdr:col>
      <xdr:colOff>790575</xdr:colOff>
      <xdr:row>127</xdr:row>
      <xdr:rowOff>108593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5460324"/>
          <a:ext cx="7096126" cy="49091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1809750</xdr:rowOff>
    </xdr:from>
    <xdr:to>
      <xdr:col>1</xdr:col>
      <xdr:colOff>3124200</xdr:colOff>
      <xdr:row>26</xdr:row>
      <xdr:rowOff>16668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962650"/>
          <a:ext cx="3095625" cy="232171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97</xdr:row>
      <xdr:rowOff>57149</xdr:rowOff>
    </xdr:from>
    <xdr:to>
      <xdr:col>5</xdr:col>
      <xdr:colOff>790575</xdr:colOff>
      <xdr:row>127</xdr:row>
      <xdr:rowOff>108593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4469724"/>
          <a:ext cx="7096126" cy="49091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1809750</xdr:rowOff>
    </xdr:from>
    <xdr:to>
      <xdr:col>1</xdr:col>
      <xdr:colOff>3124200</xdr:colOff>
      <xdr:row>26</xdr:row>
      <xdr:rowOff>16668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962650"/>
          <a:ext cx="3095625" cy="232171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97</xdr:row>
      <xdr:rowOff>57149</xdr:rowOff>
    </xdr:from>
    <xdr:to>
      <xdr:col>5</xdr:col>
      <xdr:colOff>790575</xdr:colOff>
      <xdr:row>127</xdr:row>
      <xdr:rowOff>108593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6593799"/>
          <a:ext cx="7096126" cy="49091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6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1809750</xdr:rowOff>
    </xdr:from>
    <xdr:to>
      <xdr:col>1</xdr:col>
      <xdr:colOff>3124200</xdr:colOff>
      <xdr:row>26</xdr:row>
      <xdr:rowOff>16668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962650"/>
          <a:ext cx="3095625" cy="232171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97</xdr:row>
      <xdr:rowOff>57149</xdr:rowOff>
    </xdr:from>
    <xdr:to>
      <xdr:col>5</xdr:col>
      <xdr:colOff>790575</xdr:colOff>
      <xdr:row>127</xdr:row>
      <xdr:rowOff>108593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6260424"/>
          <a:ext cx="7096126" cy="49091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1809750</xdr:rowOff>
    </xdr:from>
    <xdr:to>
      <xdr:col>1</xdr:col>
      <xdr:colOff>3124200</xdr:colOff>
      <xdr:row>26</xdr:row>
      <xdr:rowOff>16668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962650"/>
          <a:ext cx="3095625" cy="232171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97</xdr:row>
      <xdr:rowOff>57149</xdr:rowOff>
    </xdr:from>
    <xdr:to>
      <xdr:col>5</xdr:col>
      <xdr:colOff>790575</xdr:colOff>
      <xdr:row>127</xdr:row>
      <xdr:rowOff>108593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6584274"/>
          <a:ext cx="7096126" cy="49091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559856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1866900</xdr:rowOff>
    </xdr:from>
    <xdr:to>
      <xdr:col>1</xdr:col>
      <xdr:colOff>3895724</xdr:colOff>
      <xdr:row>22</xdr:row>
      <xdr:rowOff>2156220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19800"/>
          <a:ext cx="3867149" cy="2175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66675</xdr:rowOff>
    </xdr:from>
    <xdr:to>
      <xdr:col>5</xdr:col>
      <xdr:colOff>602608</xdr:colOff>
      <xdr:row>346</xdr:row>
      <xdr:rowOff>104775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9644300"/>
          <a:ext cx="7184383" cy="3924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251</xdr:row>
      <xdr:rowOff>98029</xdr:rowOff>
    </xdr:from>
    <xdr:to>
      <xdr:col>5</xdr:col>
      <xdr:colOff>495300</xdr:colOff>
      <xdr:row>319</xdr:row>
      <xdr:rowOff>14955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-1872988" y="40156742"/>
          <a:ext cx="10927826" cy="6972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1809750</xdr:rowOff>
    </xdr:from>
    <xdr:to>
      <xdr:col>1</xdr:col>
      <xdr:colOff>3124200</xdr:colOff>
      <xdr:row>26</xdr:row>
      <xdr:rowOff>16668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962650"/>
          <a:ext cx="3095625" cy="232171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92</xdr:row>
      <xdr:rowOff>76199</xdr:rowOff>
    </xdr:from>
    <xdr:to>
      <xdr:col>5</xdr:col>
      <xdr:colOff>742950</xdr:colOff>
      <xdr:row>122</xdr:row>
      <xdr:rowOff>127643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23221949"/>
          <a:ext cx="7096126" cy="49091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2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0</xdr:row>
      <xdr:rowOff>28575</xdr:rowOff>
    </xdr:from>
    <xdr:to>
      <xdr:col>1</xdr:col>
      <xdr:colOff>3448050</xdr:colOff>
      <xdr:row>2</xdr:row>
      <xdr:rowOff>0</xdr:rowOff>
    </xdr:to>
    <xdr:pic>
      <xdr:nvPicPr>
        <xdr:cNvPr id="5" name="Picture 4" descr="emblem_chb_AS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24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38099</xdr:rowOff>
    </xdr:from>
    <xdr:to>
      <xdr:col>1</xdr:col>
      <xdr:colOff>3133725</xdr:colOff>
      <xdr:row>21</xdr:row>
      <xdr:rowOff>1768158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67149"/>
          <a:ext cx="3105150" cy="2053909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3314700</xdr:colOff>
      <xdr:row>19</xdr:row>
      <xdr:rowOff>19051</xdr:rowOff>
    </xdr:from>
    <xdr:to>
      <xdr:col>5</xdr:col>
      <xdr:colOff>683681</xdr:colOff>
      <xdr:row>21</xdr:row>
      <xdr:rowOff>1778199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8101"/>
          <a:ext cx="3703106" cy="20829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1809750</xdr:rowOff>
    </xdr:from>
    <xdr:to>
      <xdr:col>1</xdr:col>
      <xdr:colOff>3124200</xdr:colOff>
      <xdr:row>26</xdr:row>
      <xdr:rowOff>16668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962650"/>
          <a:ext cx="3095625" cy="232171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92</xdr:row>
      <xdr:rowOff>76199</xdr:rowOff>
    </xdr:from>
    <xdr:to>
      <xdr:col>5</xdr:col>
      <xdr:colOff>742950</xdr:colOff>
      <xdr:row>122</xdr:row>
      <xdr:rowOff>127643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23221949"/>
          <a:ext cx="7096126" cy="49091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7"/>
  <sheetViews>
    <sheetView topLeftCell="A27" zoomScaleNormal="100" zoomScaleSheetLayoutView="100" workbookViewId="0">
      <selection activeCell="C54" sqref="C54:D54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0.7109375" style="12" customWidth="1"/>
    <col min="6" max="6" width="12.42578125" style="12" customWidth="1"/>
    <col min="7" max="7" width="8.7109375" style="144" customWidth="1"/>
    <col min="8" max="8" width="8.7109375" style="13" customWidth="1"/>
    <col min="9" max="9" width="6.85546875" style="13" customWidth="1"/>
    <col min="10" max="10" width="9.140625" style="11" customWidth="1"/>
    <col min="11" max="11" width="11.7109375" style="12" customWidth="1"/>
    <col min="12" max="14" width="9.140625" style="11" customWidth="1"/>
    <col min="15" max="15" width="11.28515625" style="11" hidden="1" customWidth="1"/>
    <col min="16" max="16" width="9.140625" style="11" hidden="1" customWidth="1"/>
    <col min="17" max="17" width="3" style="11" hidden="1" customWidth="1"/>
    <col min="18" max="18" width="0" style="11" hidden="1" customWidth="1"/>
    <col min="19" max="21" width="9.140625" style="11" hidden="1" customWidth="1"/>
    <col min="22" max="23" width="0" style="11" hidden="1" customWidth="1"/>
    <col min="24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228"/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158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223"/>
      <c r="D9" s="223"/>
      <c r="E9" s="223"/>
      <c r="F9" s="223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224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224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224"/>
      <c r="F15" s="34"/>
      <c r="G15" s="15"/>
      <c r="H15" s="16"/>
      <c r="I15" s="16"/>
    </row>
    <row r="16" spans="1:11" hidden="1">
      <c r="B16" s="17" t="s">
        <v>10</v>
      </c>
      <c r="C16" s="43"/>
      <c r="D16" s="222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227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227"/>
      <c r="C20" s="46"/>
      <c r="D20" s="15"/>
      <c r="E20" s="55"/>
      <c r="F20" s="27"/>
      <c r="G20" s="15"/>
      <c r="H20" s="16"/>
      <c r="I20" s="16"/>
    </row>
    <row r="21" spans="1:11">
      <c r="B21" s="227"/>
      <c r="C21" s="46"/>
      <c r="D21" s="15"/>
      <c r="E21" s="55"/>
      <c r="F21" s="27"/>
      <c r="G21" s="15"/>
      <c r="H21" s="16"/>
      <c r="I21" s="16"/>
    </row>
    <row r="22" spans="1:11" ht="148.5" customHeight="1">
      <c r="B22" s="227"/>
      <c r="C22" s="46"/>
      <c r="D22" s="35"/>
      <c r="E22" s="4"/>
      <c r="F22" s="27"/>
      <c r="G22" s="15"/>
      <c r="H22" s="16"/>
      <c r="I22" s="16"/>
    </row>
    <row r="23" spans="1:11" ht="175.5" customHeight="1">
      <c r="B23" s="227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ht="13.5" thickBot="1"/>
    <row r="28" spans="1:11" s="78" customFormat="1" ht="34.5" customHeight="1" thickBot="1">
      <c r="A28" s="76"/>
      <c r="B28" s="92" t="s">
        <v>80</v>
      </c>
      <c r="C28" s="282"/>
      <c r="D28" s="283"/>
      <c r="E28" s="284"/>
      <c r="F28" s="285"/>
      <c r="G28" s="145"/>
      <c r="H28" s="77"/>
      <c r="I28" s="77"/>
      <c r="K28" s="79"/>
    </row>
    <row r="29" spans="1:11" s="78" customFormat="1" ht="23.25">
      <c r="A29" s="76"/>
      <c r="B29" s="225" t="s">
        <v>62</v>
      </c>
      <c r="C29" s="226"/>
      <c r="D29" s="226"/>
      <c r="E29" s="226"/>
      <c r="F29" s="226"/>
      <c r="G29" s="145"/>
      <c r="H29" s="77"/>
      <c r="I29" s="77"/>
      <c r="K29" s="79"/>
    </row>
    <row r="30" spans="1:11" s="78" customFormat="1" ht="122.25" customHeight="1" thickBot="1">
      <c r="A30" s="76"/>
      <c r="B30" s="287" t="s">
        <v>175</v>
      </c>
      <c r="C30" s="288"/>
      <c r="D30" s="288"/>
      <c r="E30" s="288"/>
      <c r="F30" s="288"/>
      <c r="G30" s="145"/>
      <c r="H30" s="77"/>
      <c r="I30" s="77"/>
      <c r="K30" s="79"/>
    </row>
    <row r="31" spans="1:11" s="78" customFormat="1" ht="24" thickBot="1">
      <c r="A31" s="76"/>
      <c r="B31" s="95" t="s">
        <v>74</v>
      </c>
      <c r="C31" s="93"/>
      <c r="D31" s="93"/>
      <c r="E31" s="93"/>
      <c r="F31" s="94"/>
      <c r="G31" s="145"/>
      <c r="H31" s="77"/>
      <c r="I31" s="77"/>
      <c r="K31" s="79"/>
    </row>
    <row r="32" spans="1:11" ht="16.5" thickBot="1">
      <c r="B32" s="81" t="s">
        <v>40</v>
      </c>
      <c r="C32" s="225"/>
      <c r="D32" s="14"/>
      <c r="E32" s="14"/>
      <c r="F32" s="82"/>
      <c r="G32" s="15"/>
      <c r="H32" s="16"/>
      <c r="I32" s="16"/>
    </row>
    <row r="33" spans="2:9" ht="57.75" customHeight="1" thickBot="1">
      <c r="B33" s="289" t="s">
        <v>92</v>
      </c>
      <c r="C33" s="290"/>
      <c r="D33" s="290"/>
      <c r="E33" s="290"/>
      <c r="F33" s="291"/>
      <c r="G33" s="15"/>
      <c r="H33" s="16"/>
      <c r="I33" s="16"/>
    </row>
    <row r="34" spans="2:9" ht="56.25" hidden="1" customHeight="1">
      <c r="B34" s="292" t="s">
        <v>58</v>
      </c>
      <c r="C34" s="293"/>
      <c r="D34" s="293"/>
      <c r="E34" s="293"/>
      <c r="F34" s="294"/>
      <c r="G34" s="15"/>
      <c r="H34" s="16"/>
      <c r="I34" s="16"/>
    </row>
    <row r="35" spans="2:9">
      <c r="B35" s="90" t="s">
        <v>45</v>
      </c>
      <c r="C35" s="56"/>
      <c r="D35" s="86" t="s">
        <v>64</v>
      </c>
      <c r="E35" s="37"/>
      <c r="F35" s="146"/>
      <c r="G35" s="55"/>
      <c r="H35" s="4"/>
      <c r="I35" s="16"/>
    </row>
    <row r="36" spans="2:9" ht="25.5">
      <c r="B36" s="17" t="s">
        <v>46</v>
      </c>
      <c r="C36" s="40" t="s">
        <v>172</v>
      </c>
      <c r="D36" s="58">
        <f>D37*D38</f>
        <v>288</v>
      </c>
      <c r="E36" s="83" t="s">
        <v>173</v>
      </c>
      <c r="F36" s="85"/>
      <c r="G36" s="83"/>
      <c r="H36" s="4"/>
      <c r="I36" s="16"/>
    </row>
    <row r="37" spans="2:9" hidden="1">
      <c r="B37" s="17" t="s">
        <v>47</v>
      </c>
      <c r="C37" s="57" t="s">
        <v>48</v>
      </c>
      <c r="D37" s="62">
        <v>24</v>
      </c>
      <c r="E37" s="27"/>
      <c r="F37" s="64"/>
      <c r="G37" s="87"/>
      <c r="H37" s="4"/>
      <c r="I37" s="16"/>
    </row>
    <row r="38" spans="2:9" hidden="1">
      <c r="B38" s="17" t="s">
        <v>49</v>
      </c>
      <c r="C38" s="57" t="s">
        <v>48</v>
      </c>
      <c r="D38" s="62">
        <v>12</v>
      </c>
      <c r="E38" s="87"/>
      <c r="F38" s="58"/>
      <c r="G38" s="87"/>
      <c r="H38" s="4"/>
      <c r="I38" s="16"/>
    </row>
    <row r="39" spans="2:9">
      <c r="B39" s="17" t="s">
        <v>50</v>
      </c>
      <c r="C39" s="57" t="s">
        <v>25</v>
      </c>
      <c r="D39" s="87">
        <f>0.225*(D37*D38)</f>
        <v>64.8</v>
      </c>
      <c r="E39" s="87"/>
      <c r="F39" s="58"/>
      <c r="G39" s="87"/>
      <c r="H39" s="4"/>
      <c r="I39" s="16"/>
    </row>
    <row r="40" spans="2:9">
      <c r="B40" s="17" t="s">
        <v>51</v>
      </c>
      <c r="C40" s="57" t="s">
        <v>25</v>
      </c>
      <c r="D40" s="87">
        <f>0.15*(D37*D38)</f>
        <v>43.199999999999996</v>
      </c>
      <c r="E40" s="87"/>
      <c r="F40" s="58"/>
      <c r="G40" s="121"/>
      <c r="H40" s="4"/>
      <c r="I40" s="16"/>
    </row>
    <row r="41" spans="2:9" ht="25.5">
      <c r="B41" s="17" t="s">
        <v>52</v>
      </c>
      <c r="C41" s="57"/>
      <c r="D41" s="121" t="s">
        <v>65</v>
      </c>
      <c r="E41" s="87"/>
      <c r="F41" s="58"/>
      <c r="G41" s="87"/>
      <c r="H41" s="4"/>
      <c r="I41" s="16"/>
    </row>
    <row r="42" spans="2:9">
      <c r="B42" s="17" t="s">
        <v>93</v>
      </c>
      <c r="C42" s="57" t="s">
        <v>94</v>
      </c>
      <c r="D42" s="121">
        <v>3.2</v>
      </c>
      <c r="E42" s="87"/>
      <c r="F42" s="58"/>
      <c r="G42" s="87"/>
      <c r="H42" s="4"/>
      <c r="I42" s="16"/>
    </row>
    <row r="43" spans="2:9">
      <c r="B43" s="17" t="s">
        <v>95</v>
      </c>
      <c r="C43" s="57" t="s">
        <v>96</v>
      </c>
      <c r="D43" s="121">
        <v>1090</v>
      </c>
      <c r="E43" s="87"/>
      <c r="F43" s="58"/>
      <c r="G43" s="87"/>
      <c r="H43" s="4"/>
      <c r="I43" s="16"/>
    </row>
    <row r="44" spans="2:9">
      <c r="B44" s="17" t="s">
        <v>53</v>
      </c>
      <c r="C44" s="57" t="s">
        <v>24</v>
      </c>
      <c r="D44" s="87">
        <v>-8</v>
      </c>
      <c r="E44" s="87"/>
      <c r="F44" s="58"/>
      <c r="G44" s="87"/>
      <c r="H44" s="4"/>
      <c r="I44" s="16"/>
    </row>
    <row r="45" spans="2:9" ht="12.75" hidden="1" customHeight="1">
      <c r="B45" s="17" t="s">
        <v>54</v>
      </c>
      <c r="C45" s="57" t="s">
        <v>24</v>
      </c>
      <c r="D45" s="87">
        <v>-13</v>
      </c>
      <c r="E45" s="87"/>
      <c r="F45" s="58"/>
      <c r="G45" s="87"/>
      <c r="H45" s="4"/>
      <c r="I45" s="16"/>
    </row>
    <row r="46" spans="2:9" ht="13.5" hidden="1" customHeight="1">
      <c r="B46" s="17" t="s">
        <v>55</v>
      </c>
      <c r="C46" s="57" t="s">
        <v>26</v>
      </c>
      <c r="D46" s="83">
        <f>D39/(D43*D42*(D44-D45))*3600</f>
        <v>13.376146788990825</v>
      </c>
      <c r="E46" s="83"/>
      <c r="F46" s="85"/>
      <c r="G46" s="83"/>
      <c r="H46" s="4"/>
      <c r="I46" s="16"/>
    </row>
    <row r="47" spans="2:9">
      <c r="B47" s="17" t="s">
        <v>56</v>
      </c>
      <c r="C47" s="57" t="s">
        <v>48</v>
      </c>
      <c r="D47" s="83">
        <v>20</v>
      </c>
      <c r="E47" s="83"/>
      <c r="F47" s="85"/>
      <c r="G47" s="83"/>
      <c r="H47" s="4"/>
      <c r="I47" s="16"/>
    </row>
    <row r="48" spans="2:9">
      <c r="B48" s="17" t="s">
        <v>97</v>
      </c>
      <c r="C48" s="57" t="s">
        <v>98</v>
      </c>
      <c r="D48" s="83">
        <f>SQRT(4*D46/(3.14*1.5*3600))*1000</f>
        <v>56.173800137517773</v>
      </c>
      <c r="E48" s="83"/>
      <c r="F48" s="85"/>
      <c r="G48" s="83"/>
      <c r="H48" s="4"/>
      <c r="I48" s="16"/>
    </row>
    <row r="49" spans="2:9">
      <c r="B49" s="17"/>
      <c r="C49" s="57"/>
      <c r="D49" s="83"/>
      <c r="E49" s="83"/>
      <c r="F49" s="85"/>
      <c r="G49" s="83"/>
      <c r="H49" s="4"/>
      <c r="I49" s="16"/>
    </row>
    <row r="50" spans="2:9">
      <c r="B50" s="17"/>
      <c r="C50" s="57"/>
      <c r="D50" s="83"/>
      <c r="E50" s="83"/>
      <c r="F50" s="85"/>
      <c r="G50" s="83"/>
      <c r="H50" s="4"/>
      <c r="I50" s="16"/>
    </row>
    <row r="51" spans="2:9">
      <c r="B51" s="147" t="s">
        <v>99</v>
      </c>
      <c r="C51" s="59"/>
      <c r="D51" s="35"/>
      <c r="E51" s="84"/>
      <c r="F51" s="64"/>
      <c r="G51" s="59"/>
      <c r="H51" s="35"/>
      <c r="I51" s="16"/>
    </row>
    <row r="52" spans="2:9">
      <c r="B52" s="66" t="s">
        <v>6</v>
      </c>
      <c r="C52" s="295" t="s">
        <v>7</v>
      </c>
      <c r="D52" s="295"/>
      <c r="E52" s="55"/>
      <c r="F52" s="64"/>
      <c r="G52" s="295"/>
      <c r="H52" s="295"/>
      <c r="I52" s="16"/>
    </row>
    <row r="53" spans="2:9">
      <c r="B53" s="38" t="s">
        <v>8</v>
      </c>
      <c r="C53" s="67">
        <v>2</v>
      </c>
      <c r="D53" s="60" t="s">
        <v>159</v>
      </c>
      <c r="E53" s="274" t="s">
        <v>163</v>
      </c>
      <c r="F53" s="275"/>
      <c r="G53" s="67"/>
      <c r="H53" s="60"/>
      <c r="I53" s="16"/>
    </row>
    <row r="54" spans="2:9">
      <c r="B54" s="38" t="s">
        <v>101</v>
      </c>
      <c r="C54" s="277">
        <f>C53*36.44</f>
        <v>72.88</v>
      </c>
      <c r="D54" s="286"/>
      <c r="E54" s="224"/>
      <c r="F54" s="34"/>
      <c r="G54" s="277"/>
      <c r="H54" s="286"/>
      <c r="I54" s="16"/>
    </row>
    <row r="55" spans="2:9">
      <c r="B55" s="17" t="s">
        <v>9</v>
      </c>
      <c r="C55" s="57"/>
      <c r="D55" s="39" t="s">
        <v>102</v>
      </c>
      <c r="E55" s="224"/>
      <c r="F55" s="34"/>
      <c r="G55" s="57"/>
      <c r="H55" s="39"/>
      <c r="I55" s="16"/>
    </row>
    <row r="56" spans="2:9">
      <c r="B56" s="17" t="s">
        <v>10</v>
      </c>
      <c r="C56" s="57"/>
      <c r="D56" s="39">
        <f>C53*21*1.1</f>
        <v>46.2</v>
      </c>
      <c r="E56" s="224"/>
      <c r="F56" s="34"/>
      <c r="G56" s="57"/>
      <c r="H56" s="39"/>
      <c r="I56" s="16"/>
    </row>
    <row r="57" spans="2:9">
      <c r="B57" s="17" t="s">
        <v>27</v>
      </c>
      <c r="C57" s="57"/>
      <c r="D57" s="222">
        <f>(C54+D56)*1.21*1.1</f>
        <v>158.49547999999999</v>
      </c>
      <c r="E57" s="40"/>
      <c r="F57" s="34"/>
      <c r="G57" s="57"/>
      <c r="H57" s="222"/>
      <c r="I57" s="16"/>
    </row>
    <row r="58" spans="2:9">
      <c r="B58" s="68" t="s">
        <v>28</v>
      </c>
      <c r="C58" s="61" t="s">
        <v>29</v>
      </c>
      <c r="D58" s="62" t="s">
        <v>30</v>
      </c>
      <c r="E58" s="62"/>
      <c r="F58" s="122"/>
      <c r="G58" s="61"/>
      <c r="H58" s="62"/>
      <c r="I58" s="16"/>
    </row>
    <row r="59" spans="2:9">
      <c r="B59" s="65" t="s">
        <v>31</v>
      </c>
      <c r="C59" s="63">
        <v>35</v>
      </c>
      <c r="D59" s="4">
        <v>35</v>
      </c>
      <c r="E59" s="4"/>
      <c r="F59" s="64"/>
      <c r="G59" s="63"/>
      <c r="H59" s="4"/>
      <c r="I59" s="16"/>
    </row>
    <row r="60" spans="2:9">
      <c r="B60" s="65" t="s">
        <v>32</v>
      </c>
      <c r="C60" s="63"/>
      <c r="D60" s="4">
        <v>28</v>
      </c>
      <c r="E60" s="4"/>
      <c r="F60" s="64"/>
      <c r="G60" s="63"/>
      <c r="H60" s="4"/>
      <c r="I60" s="16"/>
    </row>
    <row r="61" spans="2:9">
      <c r="B61" s="65" t="s">
        <v>33</v>
      </c>
      <c r="C61" s="59"/>
      <c r="D61" s="35">
        <v>28</v>
      </c>
      <c r="E61" s="84"/>
      <c r="F61" s="64"/>
      <c r="G61" s="59"/>
      <c r="H61" s="35"/>
      <c r="I61" s="16"/>
    </row>
    <row r="62" spans="2:9" ht="13.5" thickBot="1">
      <c r="B62" s="41" t="s">
        <v>34</v>
      </c>
      <c r="C62" s="69">
        <v>54</v>
      </c>
      <c r="D62" s="70" t="s">
        <v>165</v>
      </c>
      <c r="E62" s="24"/>
      <c r="F62" s="29"/>
      <c r="G62" s="63"/>
      <c r="H62" s="35"/>
      <c r="I62" s="16"/>
    </row>
    <row r="63" spans="2:9">
      <c r="B63" s="17"/>
      <c r="C63" s="57"/>
      <c r="D63" s="83"/>
      <c r="E63" s="224"/>
      <c r="F63" s="34"/>
      <c r="G63" s="15"/>
      <c r="H63" s="16"/>
      <c r="I63" s="16"/>
    </row>
    <row r="64" spans="2:9" ht="13.5" thickBot="1">
      <c r="B64" s="91"/>
      <c r="C64" s="88"/>
      <c r="D64" s="89"/>
      <c r="E64" s="148"/>
      <c r="F64" s="149"/>
      <c r="G64" s="15"/>
      <c r="H64" s="16"/>
      <c r="I64" s="16"/>
    </row>
    <row r="65" spans="2:20" ht="13.5" thickBot="1">
      <c r="B65" s="30" t="s">
        <v>160</v>
      </c>
      <c r="C65" s="31"/>
      <c r="D65" s="32"/>
      <c r="E65" s="32"/>
      <c r="F65" s="33"/>
      <c r="G65" s="15"/>
      <c r="H65" s="16"/>
      <c r="I65" s="16"/>
    </row>
    <row r="66" spans="2:20" ht="13.5" thickBot="1">
      <c r="B66" s="71"/>
      <c r="C66" s="72"/>
      <c r="D66" s="73"/>
      <c r="E66" s="73"/>
      <c r="F66" s="74"/>
      <c r="G66" s="15"/>
      <c r="H66" s="16"/>
      <c r="I66" s="16"/>
    </row>
    <row r="67" spans="2:20" ht="102">
      <c r="B67" s="96" t="s">
        <v>174</v>
      </c>
      <c r="C67" s="97">
        <v>1</v>
      </c>
      <c r="D67" s="98" t="s">
        <v>5</v>
      </c>
      <c r="E67" s="99">
        <f>(20285+605+2132+212*2)*1.05*69+2119*69*1.05+4491*69+295600</f>
        <v>2457663.25</v>
      </c>
      <c r="F67" s="100">
        <f t="shared" ref="F67:F68" si="0">C67*E67</f>
        <v>2457663.25</v>
      </c>
      <c r="G67" s="15"/>
      <c r="H67" s="16"/>
      <c r="I67" s="16"/>
      <c r="S67" s="11">
        <f>E67*(30*15)/(28*58)</f>
        <v>681002.74784482759</v>
      </c>
      <c r="T67" s="11" t="s">
        <v>104</v>
      </c>
    </row>
    <row r="68" spans="2:20" ht="26.25" thickBot="1">
      <c r="B68" s="53" t="s">
        <v>162</v>
      </c>
      <c r="C68" s="50">
        <v>1</v>
      </c>
      <c r="D68" s="51" t="s">
        <v>36</v>
      </c>
      <c r="E68" s="52">
        <f>1.5*208194</f>
        <v>312291</v>
      </c>
      <c r="F68" s="54">
        <f t="shared" si="0"/>
        <v>312291</v>
      </c>
      <c r="G68" s="15"/>
      <c r="H68" s="16"/>
      <c r="I68" s="16"/>
      <c r="O68" s="12">
        <f>F67+F68</f>
        <v>2769954.25</v>
      </c>
    </row>
    <row r="69" spans="2:20" ht="13.5" thickBot="1">
      <c r="B69" s="22" t="s">
        <v>11</v>
      </c>
      <c r="C69" s="23"/>
      <c r="D69" s="24"/>
      <c r="E69" s="25"/>
      <c r="F69" s="151">
        <f>SUM(F67:F68)</f>
        <v>2769954.25</v>
      </c>
      <c r="G69" s="15"/>
      <c r="H69" s="16"/>
      <c r="I69" s="16"/>
    </row>
    <row r="70" spans="2:20" ht="13.5" thickBot="1">
      <c r="B70" s="20" t="s">
        <v>4</v>
      </c>
      <c r="C70" s="19"/>
      <c r="D70" s="18"/>
      <c r="E70" s="19"/>
      <c r="F70" s="21">
        <f>F69*18/118</f>
        <v>422535.39406779659</v>
      </c>
      <c r="G70" s="15"/>
      <c r="H70" s="16"/>
      <c r="I70" s="16"/>
    </row>
    <row r="71" spans="2:20" ht="13.5" hidden="1" customHeight="1">
      <c r="B71" s="20" t="s">
        <v>38</v>
      </c>
      <c r="C71" s="19"/>
      <c r="D71" s="18">
        <v>87.2</v>
      </c>
      <c r="E71" s="19"/>
      <c r="F71" s="80">
        <f>F69/D71</f>
        <v>31765.530389908257</v>
      </c>
      <c r="G71" s="15"/>
      <c r="H71" s="16"/>
      <c r="I71" s="16"/>
    </row>
    <row r="72" spans="2:20" ht="25.5">
      <c r="B72" s="75" t="s">
        <v>57</v>
      </c>
      <c r="G72" s="15"/>
      <c r="H72" s="16"/>
      <c r="I72" s="16"/>
    </row>
    <row r="73" spans="2:20">
      <c r="B73" s="11" t="s">
        <v>37</v>
      </c>
      <c r="G73" s="15"/>
      <c r="H73" s="16"/>
      <c r="I73" s="16"/>
    </row>
    <row r="74" spans="2:20">
      <c r="B74" s="11" t="s">
        <v>109</v>
      </c>
      <c r="C74" s="57"/>
      <c r="D74" s="83"/>
      <c r="E74" s="224"/>
      <c r="F74" s="223"/>
      <c r="G74" s="15"/>
      <c r="H74" s="16"/>
      <c r="I74" s="16"/>
    </row>
    <row r="75" spans="2:20" ht="37.5" customHeight="1" thickBot="1">
      <c r="B75" s="152" t="s">
        <v>114</v>
      </c>
      <c r="C75" s="57"/>
      <c r="D75" s="83"/>
      <c r="E75" s="224"/>
      <c r="F75" s="223"/>
      <c r="G75" s="15"/>
      <c r="H75" s="16"/>
      <c r="I75" s="16"/>
    </row>
    <row r="76" spans="2:20">
      <c r="B76" s="96" t="s">
        <v>59</v>
      </c>
      <c r="C76" s="97">
        <v>1</v>
      </c>
      <c r="D76" s="98" t="s">
        <v>36</v>
      </c>
      <c r="E76" s="99">
        <f>D37*D38*1.1*1172*1.15*1.2*1.25</f>
        <v>640474.55999999994</v>
      </c>
      <c r="F76" s="100">
        <f t="shared" ref="F76:F79" si="1">C76*E76</f>
        <v>640474.55999999994</v>
      </c>
      <c r="G76" s="16"/>
      <c r="H76" s="11"/>
      <c r="I76" s="12"/>
      <c r="K76" s="11"/>
    </row>
    <row r="77" spans="2:20">
      <c r="B77" s="53" t="s">
        <v>60</v>
      </c>
      <c r="C77" s="50">
        <v>1</v>
      </c>
      <c r="D77" s="51" t="s">
        <v>21</v>
      </c>
      <c r="E77" s="52">
        <f>E67*0.09</f>
        <v>221189.6925</v>
      </c>
      <c r="F77" s="54">
        <f t="shared" si="1"/>
        <v>221189.6925</v>
      </c>
      <c r="G77" s="16"/>
      <c r="H77" s="11"/>
      <c r="I77" s="12"/>
      <c r="K77" s="11"/>
    </row>
    <row r="78" spans="2:20">
      <c r="B78" s="53" t="s">
        <v>112</v>
      </c>
      <c r="C78" s="50">
        <v>1</v>
      </c>
      <c r="D78" s="51" t="s">
        <v>21</v>
      </c>
      <c r="E78" s="52">
        <v>24840</v>
      </c>
      <c r="F78" s="54">
        <f t="shared" si="1"/>
        <v>24840</v>
      </c>
      <c r="G78" s="16"/>
      <c r="H78" s="11"/>
      <c r="I78" s="12"/>
      <c r="K78" s="11"/>
    </row>
    <row r="79" spans="2:20" ht="13.5" thickBot="1">
      <c r="B79" s="101" t="s">
        <v>61</v>
      </c>
      <c r="C79" s="102">
        <v>1</v>
      </c>
      <c r="D79" s="103" t="s">
        <v>36</v>
      </c>
      <c r="E79" s="104">
        <f>804307*0.55</f>
        <v>442368.85000000003</v>
      </c>
      <c r="F79" s="105">
        <f t="shared" si="1"/>
        <v>442368.85000000003</v>
      </c>
      <c r="G79" s="16"/>
      <c r="H79" s="11"/>
      <c r="I79" s="12"/>
      <c r="K79" s="11"/>
    </row>
    <row r="80" spans="2:20" ht="13.5" thickBot="1">
      <c r="F80" s="151">
        <f>SUM(F76:F79)</f>
        <v>1328873.1025</v>
      </c>
    </row>
    <row r="82" spans="2:20" ht="13.5" hidden="1" thickBot="1">
      <c r="B82" s="201" t="s">
        <v>111</v>
      </c>
    </row>
    <row r="83" spans="2:20" ht="25.5" hidden="1">
      <c r="B83" s="96" t="s">
        <v>105</v>
      </c>
      <c r="C83" s="97">
        <v>1</v>
      </c>
      <c r="D83" s="98" t="s">
        <v>5</v>
      </c>
      <c r="E83" s="99">
        <f>1.3*314154*0.4</f>
        <v>163360.08000000002</v>
      </c>
      <c r="F83" s="100">
        <f>C83*E83</f>
        <v>163360.08000000002</v>
      </c>
      <c r="G83" s="15"/>
      <c r="H83" s="16"/>
      <c r="I83" s="16"/>
    </row>
    <row r="84" spans="2:20" ht="25.5" hidden="1">
      <c r="B84" s="53" t="s">
        <v>106</v>
      </c>
      <c r="C84" s="50">
        <v>1</v>
      </c>
      <c r="D84" s="51" t="s">
        <v>5</v>
      </c>
      <c r="E84" s="52">
        <f>0.9*451654*0.45</f>
        <v>182919.87000000002</v>
      </c>
      <c r="F84" s="54">
        <f>C84*E84</f>
        <v>182919.87000000002</v>
      </c>
      <c r="G84" s="15"/>
      <c r="H84" s="16"/>
      <c r="I84" s="16"/>
    </row>
    <row r="85" spans="2:20" ht="13.5" hidden="1" thickBot="1">
      <c r="B85" s="101" t="s">
        <v>108</v>
      </c>
      <c r="C85" s="102">
        <v>1</v>
      </c>
      <c r="D85" s="103" t="s">
        <v>36</v>
      </c>
      <c r="E85" s="104">
        <f>0.38*315151</f>
        <v>119757.38</v>
      </c>
      <c r="F85" s="105">
        <f>C85*E85</f>
        <v>119757.38</v>
      </c>
      <c r="G85" s="15"/>
      <c r="H85" s="16"/>
      <c r="I85" s="16"/>
    </row>
    <row r="87" spans="2:20" ht="13.5" thickBot="1"/>
    <row r="88" spans="2:20" ht="13.5" thickBot="1">
      <c r="B88" s="30" t="s">
        <v>164</v>
      </c>
      <c r="C88" s="31"/>
      <c r="D88" s="32"/>
      <c r="E88" s="32"/>
      <c r="F88" s="33"/>
      <c r="G88" s="15"/>
      <c r="H88" s="16"/>
      <c r="I88" s="16"/>
    </row>
    <row r="89" spans="2:20" ht="13.5" thickBot="1">
      <c r="B89" s="71"/>
      <c r="C89" s="72"/>
      <c r="D89" s="73"/>
      <c r="E89" s="73"/>
      <c r="F89" s="74"/>
      <c r="G89" s="15"/>
      <c r="H89" s="16"/>
      <c r="I89" s="16"/>
    </row>
    <row r="90" spans="2:20" ht="102">
      <c r="B90" s="96" t="s">
        <v>161</v>
      </c>
      <c r="C90" s="97">
        <v>1</v>
      </c>
      <c r="D90" s="98" t="s">
        <v>5</v>
      </c>
      <c r="E90" s="99">
        <f>E67*0.67+395600</f>
        <v>2042234.3775000002</v>
      </c>
      <c r="F90" s="100">
        <f t="shared" ref="F90:F91" si="2">C90*E90</f>
        <v>2042234.3775000002</v>
      </c>
      <c r="G90" s="15"/>
      <c r="H90" s="16"/>
      <c r="I90" s="16"/>
      <c r="S90" s="11">
        <f>E90*(30*15)/(28*58)</f>
        <v>565890.06765701983</v>
      </c>
      <c r="T90" s="11" t="s">
        <v>104</v>
      </c>
    </row>
    <row r="91" spans="2:20" ht="26.25" thickBot="1">
      <c r="B91" s="53" t="s">
        <v>135</v>
      </c>
      <c r="C91" s="50">
        <v>1</v>
      </c>
      <c r="D91" s="51" t="s">
        <v>36</v>
      </c>
      <c r="E91" s="52">
        <f>1.7*208194</f>
        <v>353929.8</v>
      </c>
      <c r="F91" s="54">
        <f t="shared" si="2"/>
        <v>353929.8</v>
      </c>
      <c r="G91" s="15"/>
      <c r="H91" s="16"/>
      <c r="I91" s="16"/>
      <c r="O91" s="12">
        <f>F90+F91</f>
        <v>2396164.1775000002</v>
      </c>
    </row>
    <row r="92" spans="2:20" ht="13.5" thickBot="1">
      <c r="B92" s="22" t="s">
        <v>11</v>
      </c>
      <c r="C92" s="23"/>
      <c r="D92" s="24"/>
      <c r="E92" s="25"/>
      <c r="F92" s="151">
        <f>SUM(F90:F91)</f>
        <v>2396164.1775000002</v>
      </c>
      <c r="G92" s="15"/>
      <c r="H92" s="16"/>
      <c r="I92" s="16"/>
    </row>
    <row r="93" spans="2:20" ht="13.5" thickBot="1">
      <c r="B93" s="20" t="s">
        <v>4</v>
      </c>
      <c r="C93" s="19"/>
      <c r="D93" s="18"/>
      <c r="E93" s="19"/>
      <c r="F93" s="21">
        <f>F92*18/118</f>
        <v>365516.56944915262</v>
      </c>
      <c r="G93" s="15"/>
      <c r="H93" s="16"/>
      <c r="I93" s="16"/>
    </row>
    <row r="94" spans="2:20" ht="13.5" hidden="1" customHeight="1">
      <c r="B94" s="20" t="s">
        <v>38</v>
      </c>
      <c r="C94" s="19"/>
      <c r="D94" s="18">
        <v>87.2</v>
      </c>
      <c r="E94" s="19"/>
      <c r="F94" s="80">
        <f>F92/D94</f>
        <v>27478.946989678901</v>
      </c>
      <c r="G94" s="15"/>
      <c r="H94" s="16"/>
      <c r="I94" s="16"/>
    </row>
    <row r="95" spans="2:20" ht="25.5">
      <c r="B95" s="75" t="s">
        <v>57</v>
      </c>
      <c r="G95" s="15"/>
      <c r="H95" s="16"/>
      <c r="I95" s="16"/>
    </row>
    <row r="96" spans="2:20">
      <c r="B96" s="11" t="s">
        <v>37</v>
      </c>
      <c r="G96" s="15"/>
      <c r="H96" s="16"/>
      <c r="I96" s="16"/>
    </row>
    <row r="97" spans="2:9">
      <c r="B97" s="11" t="s">
        <v>109</v>
      </c>
      <c r="C97" s="57"/>
      <c r="D97" s="83"/>
      <c r="E97" s="224"/>
      <c r="F97" s="223"/>
      <c r="G97" s="15"/>
      <c r="H97" s="16"/>
      <c r="I97" s="16"/>
    </row>
  </sheetData>
  <mergeCells count="26">
    <mergeCell ref="C54:D54"/>
    <mergeCell ref="G54:H54"/>
    <mergeCell ref="B30:F30"/>
    <mergeCell ref="B33:F33"/>
    <mergeCell ref="B34:F34"/>
    <mergeCell ref="C52:D52"/>
    <mergeCell ref="G52:H52"/>
    <mergeCell ref="E53:F53"/>
    <mergeCell ref="C23:F23"/>
    <mergeCell ref="B24:D24"/>
    <mergeCell ref="B25:F25"/>
    <mergeCell ref="B26:F26"/>
    <mergeCell ref="C28:D28"/>
    <mergeCell ref="E28:F28"/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2"/>
  <sheetViews>
    <sheetView topLeftCell="A43" zoomScaleNormal="100" zoomScaleSheetLayoutView="100" workbookViewId="0">
      <selection activeCell="E65" sqref="E65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3" style="12" customWidth="1"/>
    <col min="6" max="6" width="12.42578125" style="12" customWidth="1"/>
    <col min="7" max="7" width="8.7109375" style="144" hidden="1" customWidth="1"/>
    <col min="8" max="8" width="8.7109375" style="13" hidden="1" customWidth="1"/>
    <col min="9" max="9" width="6.85546875" style="13" hidden="1" customWidth="1"/>
    <col min="10" max="10" width="9.140625" style="11" customWidth="1"/>
    <col min="11" max="11" width="11.7109375" style="12" hidden="1" customWidth="1"/>
    <col min="12" max="12" width="9.140625" style="11" hidden="1" customWidth="1"/>
    <col min="13" max="13" width="12.140625" style="11" hidden="1" customWidth="1"/>
    <col min="14" max="15" width="9.140625" style="11" hidden="1" customWidth="1"/>
    <col min="16" max="16" width="11.28515625" style="11" hidden="1" customWidth="1"/>
    <col min="17" max="17" width="0" style="11" hidden="1" customWidth="1"/>
    <col min="18" max="18" width="3" style="11" customWidth="1"/>
    <col min="19" max="20" width="9.140625" style="11"/>
    <col min="21" max="22" width="0" style="11" hidden="1" customWidth="1"/>
    <col min="23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132" t="s">
        <v>116</v>
      </c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117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127"/>
      <c r="D9" s="127"/>
      <c r="E9" s="127"/>
      <c r="F9" s="127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125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125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125"/>
      <c r="F15" s="34"/>
      <c r="G15" s="15"/>
      <c r="H15" s="16"/>
      <c r="I15" s="16"/>
    </row>
    <row r="16" spans="1:11" hidden="1">
      <c r="B16" s="17" t="s">
        <v>10</v>
      </c>
      <c r="C16" s="43"/>
      <c r="D16" s="126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131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131"/>
      <c r="C20" s="46"/>
      <c r="D20" s="15"/>
      <c r="E20" s="55"/>
      <c r="F20" s="27"/>
      <c r="G20" s="15"/>
      <c r="H20" s="16"/>
      <c r="I20" s="16"/>
    </row>
    <row r="21" spans="1:11">
      <c r="B21" s="131"/>
      <c r="C21" s="46"/>
      <c r="D21" s="15"/>
      <c r="E21" s="55"/>
      <c r="F21" s="27"/>
      <c r="G21" s="15"/>
      <c r="H21" s="16"/>
      <c r="I21" s="16"/>
    </row>
    <row r="22" spans="1:11" ht="148.5" customHeight="1">
      <c r="B22" s="131"/>
      <c r="C22" s="46"/>
      <c r="D22" s="35"/>
      <c r="E22" s="4"/>
      <c r="F22" s="27"/>
      <c r="G22" s="15"/>
      <c r="H22" s="16"/>
      <c r="I22" s="16"/>
    </row>
    <row r="23" spans="1:11" ht="175.5" customHeight="1" thickBot="1">
      <c r="B23" s="131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s="78" customFormat="1" ht="34.5" customHeight="1" thickBot="1">
      <c r="A27" s="76"/>
      <c r="B27" s="92" t="s">
        <v>80</v>
      </c>
      <c r="C27" s="282"/>
      <c r="D27" s="283"/>
      <c r="E27" s="284"/>
      <c r="F27" s="285"/>
      <c r="G27" s="145"/>
      <c r="H27" s="77"/>
      <c r="I27" s="77"/>
      <c r="K27" s="79"/>
    </row>
    <row r="28" spans="1:11" s="78" customFormat="1" ht="23.25">
      <c r="A28" s="76"/>
      <c r="B28" s="129" t="s">
        <v>62</v>
      </c>
      <c r="C28" s="130"/>
      <c r="D28" s="130"/>
      <c r="E28" s="130"/>
      <c r="F28" s="130"/>
      <c r="G28" s="145"/>
      <c r="H28" s="77"/>
      <c r="I28" s="77"/>
      <c r="K28" s="79"/>
    </row>
    <row r="29" spans="1:11" s="78" customFormat="1" ht="122.25" customHeight="1" thickBot="1">
      <c r="A29" s="76"/>
      <c r="B29" s="287" t="s">
        <v>118</v>
      </c>
      <c r="C29" s="288"/>
      <c r="D29" s="288"/>
      <c r="E29" s="288"/>
      <c r="F29" s="288"/>
      <c r="G29" s="145"/>
      <c r="H29" s="77"/>
      <c r="I29" s="77"/>
      <c r="K29" s="79"/>
    </row>
    <row r="30" spans="1:11" s="78" customFormat="1" ht="24" thickBot="1">
      <c r="A30" s="76"/>
      <c r="B30" s="95" t="s">
        <v>74</v>
      </c>
      <c r="C30" s="93"/>
      <c r="D30" s="93"/>
      <c r="E30" s="93"/>
      <c r="F30" s="94"/>
      <c r="G30" s="145"/>
      <c r="H30" s="77"/>
      <c r="I30" s="77"/>
      <c r="K30" s="79"/>
    </row>
    <row r="31" spans="1:11" ht="16.5" thickBot="1">
      <c r="B31" s="81" t="s">
        <v>40</v>
      </c>
      <c r="C31" s="129"/>
      <c r="D31" s="14"/>
      <c r="E31" s="14"/>
      <c r="F31" s="82"/>
      <c r="G31" s="15"/>
      <c r="H31" s="16"/>
      <c r="I31" s="16"/>
    </row>
    <row r="32" spans="1:11" ht="57.75" customHeight="1" thickBot="1">
      <c r="B32" s="289" t="s">
        <v>92</v>
      </c>
      <c r="C32" s="290"/>
      <c r="D32" s="290"/>
      <c r="E32" s="290"/>
      <c r="F32" s="291"/>
      <c r="G32" s="15"/>
      <c r="H32" s="16"/>
      <c r="I32" s="16"/>
    </row>
    <row r="33" spans="2:11" ht="56.25" customHeight="1" thickBot="1">
      <c r="B33" s="297" t="s">
        <v>58</v>
      </c>
      <c r="C33" s="298"/>
      <c r="D33" s="298"/>
      <c r="E33" s="298"/>
      <c r="F33" s="299"/>
      <c r="G33" s="15"/>
      <c r="H33" s="16"/>
      <c r="I33" s="16"/>
    </row>
    <row r="34" spans="2:11">
      <c r="B34" s="90" t="s">
        <v>45</v>
      </c>
      <c r="C34" s="56"/>
      <c r="D34" s="86" t="s">
        <v>119</v>
      </c>
      <c r="E34" s="153"/>
      <c r="F34" s="154"/>
      <c r="G34" s="15"/>
      <c r="H34" s="16"/>
      <c r="I34" s="16"/>
    </row>
    <row r="35" spans="2:11">
      <c r="B35" s="17" t="s">
        <v>46</v>
      </c>
      <c r="C35" s="57"/>
      <c r="D35" s="83"/>
      <c r="E35" s="83"/>
      <c r="F35" s="85"/>
      <c r="G35" s="15"/>
      <c r="H35" s="16"/>
      <c r="I35" s="16"/>
    </row>
    <row r="36" spans="2:11">
      <c r="B36" s="17" t="s">
        <v>47</v>
      </c>
      <c r="C36" s="57" t="s">
        <v>48</v>
      </c>
      <c r="D36" s="87">
        <v>60</v>
      </c>
      <c r="E36" s="83"/>
      <c r="F36" s="85"/>
      <c r="G36" s="15"/>
      <c r="H36" s="16"/>
      <c r="I36" s="16"/>
    </row>
    <row r="37" spans="2:11">
      <c r="B37" s="17" t="s">
        <v>49</v>
      </c>
      <c r="C37" s="57" t="s">
        <v>48</v>
      </c>
      <c r="D37" s="87">
        <v>28</v>
      </c>
      <c r="E37" s="83"/>
      <c r="F37" s="85"/>
      <c r="G37" s="15"/>
      <c r="H37" s="16"/>
      <c r="I37" s="16"/>
    </row>
    <row r="38" spans="2:11" ht="25.5">
      <c r="B38" s="17" t="s">
        <v>120</v>
      </c>
      <c r="C38" s="57" t="s">
        <v>25</v>
      </c>
      <c r="D38" s="87">
        <v>511</v>
      </c>
      <c r="E38" s="83"/>
      <c r="F38" s="85"/>
      <c r="G38" s="15"/>
      <c r="H38" s="16"/>
      <c r="I38" s="16"/>
    </row>
    <row r="39" spans="2:11" ht="25.5">
      <c r="B39" s="17" t="s">
        <v>121</v>
      </c>
      <c r="C39" s="57" t="s">
        <v>25</v>
      </c>
      <c r="D39" s="87">
        <v>402</v>
      </c>
      <c r="E39" s="83"/>
      <c r="F39" s="85"/>
      <c r="G39" s="15"/>
      <c r="H39" s="16"/>
      <c r="I39" s="16"/>
    </row>
    <row r="40" spans="2:11">
      <c r="B40" s="17" t="s">
        <v>51</v>
      </c>
      <c r="C40" s="57" t="s">
        <v>25</v>
      </c>
      <c r="D40" s="87">
        <v>315</v>
      </c>
      <c r="E40" s="87"/>
      <c r="F40" s="155"/>
      <c r="G40" s="15"/>
      <c r="H40" s="16"/>
      <c r="I40" s="16"/>
    </row>
    <row r="41" spans="2:11">
      <c r="B41" s="17" t="s">
        <v>52</v>
      </c>
      <c r="C41" s="57"/>
      <c r="D41" s="121" t="s">
        <v>122</v>
      </c>
      <c r="E41" s="83"/>
      <c r="F41" s="85"/>
      <c r="G41" s="15"/>
      <c r="H41" s="16"/>
      <c r="I41" s="16"/>
    </row>
    <row r="42" spans="2:11">
      <c r="B42" s="17" t="s">
        <v>53</v>
      </c>
      <c r="C42" s="57" t="s">
        <v>24</v>
      </c>
      <c r="D42" s="87">
        <v>9</v>
      </c>
      <c r="E42" s="84"/>
      <c r="F42" s="64"/>
      <c r="G42" s="15"/>
      <c r="H42" s="16"/>
      <c r="I42" s="16"/>
    </row>
    <row r="43" spans="2:11" ht="13.5" thickBot="1">
      <c r="B43" s="17" t="s">
        <v>54</v>
      </c>
      <c r="C43" s="57" t="s">
        <v>24</v>
      </c>
      <c r="D43" s="87">
        <v>-12</v>
      </c>
      <c r="E43" s="55"/>
      <c r="F43" s="64"/>
      <c r="G43" s="15"/>
      <c r="H43" s="16"/>
      <c r="I43" s="16"/>
    </row>
    <row r="44" spans="2:11" ht="13.5" hidden="1" thickBot="1">
      <c r="B44" s="17" t="s">
        <v>55</v>
      </c>
      <c r="C44" s="57" t="s">
        <v>26</v>
      </c>
      <c r="D44" s="83">
        <f>D39/(1060*3.5*(D42-D43))*3600</f>
        <v>18.575279168271084</v>
      </c>
      <c r="E44" s="274"/>
      <c r="F44" s="275"/>
      <c r="G44" s="15"/>
      <c r="H44" s="16"/>
      <c r="I44" s="16"/>
    </row>
    <row r="45" spans="2:11" ht="13.5" hidden="1" thickBot="1">
      <c r="B45" s="91" t="s">
        <v>56</v>
      </c>
      <c r="C45" s="88" t="s">
        <v>48</v>
      </c>
      <c r="D45" s="89">
        <v>20</v>
      </c>
      <c r="E45" s="148"/>
      <c r="F45" s="149"/>
      <c r="G45" s="15"/>
      <c r="H45" s="16"/>
      <c r="I45" s="16"/>
    </row>
    <row r="46" spans="2:11">
      <c r="B46" s="156" t="s">
        <v>123</v>
      </c>
      <c r="C46" s="157"/>
      <c r="D46" s="158">
        <f>116.15*1.15*2</f>
        <v>267.14499999999998</v>
      </c>
      <c r="E46" s="159"/>
      <c r="F46" s="160"/>
      <c r="G46" s="119"/>
      <c r="H46" s="11"/>
      <c r="I46" s="12"/>
      <c r="K46" s="11"/>
    </row>
    <row r="47" spans="2:11" ht="13.5" thickBot="1">
      <c r="B47" s="161" t="s">
        <v>124</v>
      </c>
      <c r="C47" s="162"/>
      <c r="D47" s="163">
        <f>116.15*1.35</f>
        <v>156.80250000000001</v>
      </c>
      <c r="E47" s="164"/>
      <c r="F47" s="165"/>
      <c r="G47" s="119"/>
      <c r="H47" s="11"/>
      <c r="I47" s="12"/>
      <c r="K47" s="11"/>
    </row>
    <row r="48" spans="2:11" ht="25.5">
      <c r="B48" s="17" t="s">
        <v>125</v>
      </c>
      <c r="C48" s="57"/>
      <c r="D48" s="83"/>
      <c r="E48" s="125"/>
      <c r="F48" s="34"/>
      <c r="G48" s="15"/>
      <c r="H48" s="16"/>
      <c r="I48" s="16"/>
    </row>
    <row r="49" spans="2:21">
      <c r="B49" s="17"/>
      <c r="C49" s="57"/>
      <c r="D49" s="83"/>
      <c r="E49" s="125"/>
      <c r="F49" s="34"/>
      <c r="G49" s="15"/>
      <c r="H49" s="16"/>
      <c r="I49" s="16"/>
    </row>
    <row r="50" spans="2:21" ht="13.5" thickBot="1">
      <c r="B50" s="91"/>
      <c r="C50" s="88"/>
      <c r="D50" s="89"/>
      <c r="E50" s="148"/>
      <c r="F50" s="149"/>
      <c r="G50" s="15"/>
      <c r="H50" s="16"/>
      <c r="I50" s="16"/>
    </row>
    <row r="51" spans="2:21" ht="13.5" thickBot="1">
      <c r="B51" s="30"/>
      <c r="C51" s="31"/>
      <c r="D51" s="32"/>
      <c r="E51" s="32"/>
      <c r="F51" s="33"/>
      <c r="G51" s="15"/>
      <c r="H51" s="16"/>
      <c r="I51" s="16"/>
    </row>
    <row r="52" spans="2:21" ht="13.5" thickBot="1">
      <c r="B52" s="71"/>
      <c r="C52" s="72"/>
      <c r="D52" s="73"/>
      <c r="E52" s="73"/>
      <c r="F52" s="74"/>
      <c r="G52" s="15"/>
      <c r="H52" s="16"/>
      <c r="I52" s="16"/>
    </row>
    <row r="53" spans="2:21" ht="127.5">
      <c r="B53" s="96" t="s">
        <v>126</v>
      </c>
      <c r="C53" s="97">
        <v>1</v>
      </c>
      <c r="D53" s="98" t="s">
        <v>5</v>
      </c>
      <c r="E53" s="99">
        <f>3209574*1.65+848991+1271328+1156842+116248+1145600</f>
        <v>9834806.0999999996</v>
      </c>
      <c r="F53" s="100">
        <f t="shared" ref="F53:F56" si="0">C53*E53</f>
        <v>9834806.0999999996</v>
      </c>
      <c r="G53" s="15"/>
      <c r="H53" s="16"/>
      <c r="I53" s="16"/>
      <c r="U53" s="11" t="s">
        <v>104</v>
      </c>
    </row>
    <row r="54" spans="2:21" ht="25.5">
      <c r="B54" s="53" t="s">
        <v>106</v>
      </c>
      <c r="C54" s="50">
        <v>1</v>
      </c>
      <c r="D54" s="51" t="s">
        <v>5</v>
      </c>
      <c r="E54" s="52">
        <f>0.9*451654</f>
        <v>406488.60000000003</v>
      </c>
      <c r="F54" s="54">
        <f t="shared" si="0"/>
        <v>406488.60000000003</v>
      </c>
      <c r="G54" s="15"/>
      <c r="H54" s="16"/>
      <c r="I54" s="16"/>
    </row>
    <row r="55" spans="2:21" ht="25.5">
      <c r="B55" s="53" t="s">
        <v>107</v>
      </c>
      <c r="C55" s="50">
        <v>1</v>
      </c>
      <c r="D55" s="51" t="s">
        <v>36</v>
      </c>
      <c r="E55" s="52">
        <f>2*580461</f>
        <v>1160922</v>
      </c>
      <c r="F55" s="54">
        <f t="shared" si="0"/>
        <v>1160922</v>
      </c>
      <c r="G55" s="15"/>
      <c r="H55" s="16"/>
      <c r="I55" s="16"/>
      <c r="P55" s="12">
        <f>F53+F55</f>
        <v>10995728.1</v>
      </c>
    </row>
    <row r="56" spans="2:21" ht="13.5" thickBot="1">
      <c r="B56" s="53" t="s">
        <v>108</v>
      </c>
      <c r="C56" s="50">
        <v>1</v>
      </c>
      <c r="D56" s="51" t="s">
        <v>36</v>
      </c>
      <c r="E56" s="52">
        <v>315151</v>
      </c>
      <c r="F56" s="150">
        <f t="shared" si="0"/>
        <v>315151</v>
      </c>
      <c r="G56" s="15"/>
      <c r="H56" s="16"/>
      <c r="I56" s="16"/>
    </row>
    <row r="57" spans="2:21" ht="13.5" thickBot="1">
      <c r="B57" s="22" t="s">
        <v>11</v>
      </c>
      <c r="C57" s="23"/>
      <c r="D57" s="24"/>
      <c r="E57" s="25"/>
      <c r="F57" s="151">
        <f>SUM(F53:F56)</f>
        <v>11717367.699999999</v>
      </c>
      <c r="G57" s="15"/>
      <c r="H57" s="16"/>
      <c r="I57" s="16"/>
    </row>
    <row r="58" spans="2:21" ht="13.5" thickBot="1">
      <c r="B58" s="20" t="s">
        <v>4</v>
      </c>
      <c r="C58" s="19"/>
      <c r="D58" s="18"/>
      <c r="E58" s="19"/>
      <c r="F58" s="21">
        <f>F57*18/118</f>
        <v>1787395.0728813559</v>
      </c>
      <c r="G58" s="15"/>
      <c r="H58" s="16"/>
      <c r="I58" s="16"/>
    </row>
    <row r="59" spans="2:21" ht="13.5" hidden="1" thickBot="1">
      <c r="B59" s="20" t="s">
        <v>38</v>
      </c>
      <c r="C59" s="19"/>
      <c r="D59" s="18">
        <v>87.2</v>
      </c>
      <c r="E59" s="19"/>
      <c r="F59" s="80">
        <f>F57/D59</f>
        <v>134373.48279816512</v>
      </c>
      <c r="G59" s="15"/>
      <c r="H59" s="16"/>
      <c r="I59" s="16"/>
    </row>
    <row r="60" spans="2:21" ht="25.5">
      <c r="B60" s="75" t="s">
        <v>57</v>
      </c>
      <c r="G60" s="15"/>
      <c r="H60" s="16"/>
      <c r="I60" s="16"/>
    </row>
    <row r="61" spans="2:21">
      <c r="B61" s="11" t="s">
        <v>37</v>
      </c>
      <c r="G61" s="15"/>
      <c r="H61" s="16"/>
      <c r="I61" s="16"/>
    </row>
    <row r="62" spans="2:21">
      <c r="B62" s="11" t="s">
        <v>109</v>
      </c>
      <c r="C62" s="57"/>
      <c r="D62" s="83"/>
      <c r="E62" s="125"/>
      <c r="F62" s="127"/>
      <c r="G62" s="15"/>
      <c r="H62" s="16"/>
      <c r="I62" s="16"/>
    </row>
    <row r="63" spans="2:21" ht="37.5" customHeight="1">
      <c r="B63" s="127" t="s">
        <v>110</v>
      </c>
      <c r="C63" s="57"/>
      <c r="D63" s="83"/>
      <c r="E63" s="125"/>
      <c r="F63" s="127"/>
      <c r="G63" s="15"/>
      <c r="H63" s="16"/>
      <c r="I63" s="16"/>
    </row>
    <row r="64" spans="2:21" ht="13.5" thickBot="1"/>
    <row r="65" spans="1:21" s="12" customFormat="1">
      <c r="A65" s="8"/>
      <c r="B65" s="166" t="s">
        <v>59</v>
      </c>
      <c r="C65" s="167">
        <v>1</v>
      </c>
      <c r="D65" s="98" t="s">
        <v>36</v>
      </c>
      <c r="E65" s="168">
        <f>1.25*2796500</f>
        <v>3495625</v>
      </c>
      <c r="F65" s="169">
        <f t="shared" ref="F65:F69" si="1">C65*E65</f>
        <v>3495625</v>
      </c>
      <c r="G65" s="170"/>
      <c r="H65" s="171"/>
      <c r="I65" s="171"/>
      <c r="J65" s="171"/>
      <c r="K65" s="171"/>
      <c r="L65" s="171"/>
      <c r="M65" s="171"/>
      <c r="N65" s="171"/>
      <c r="O65" s="170"/>
      <c r="P65" s="170"/>
      <c r="Q65" s="170"/>
      <c r="R65" s="170"/>
    </row>
    <row r="66" spans="1:21" s="12" customFormat="1" ht="25.5">
      <c r="A66" s="8"/>
      <c r="B66" s="172" t="s">
        <v>127</v>
      </c>
      <c r="C66" s="173">
        <v>1</v>
      </c>
      <c r="D66" s="51" t="s">
        <v>36</v>
      </c>
      <c r="E66" s="174">
        <f>397415</f>
        <v>397415</v>
      </c>
      <c r="F66" s="175">
        <f t="shared" si="1"/>
        <v>397415</v>
      </c>
      <c r="G66" s="170"/>
      <c r="H66" s="171"/>
      <c r="I66" s="171"/>
      <c r="J66" s="171"/>
      <c r="K66" s="171"/>
      <c r="L66" s="171"/>
      <c r="M66" s="171"/>
      <c r="N66" s="171"/>
      <c r="O66" s="170"/>
      <c r="P66" s="170"/>
      <c r="Q66" s="170"/>
      <c r="R66" s="170"/>
    </row>
    <row r="67" spans="1:21" s="12" customFormat="1" ht="25.5">
      <c r="A67" s="8"/>
      <c r="B67" s="172" t="s">
        <v>128</v>
      </c>
      <c r="C67" s="173">
        <v>1</v>
      </c>
      <c r="D67" s="51" t="s">
        <v>21</v>
      </c>
      <c r="E67" s="174">
        <v>613831.5</v>
      </c>
      <c r="F67" s="175">
        <f t="shared" si="1"/>
        <v>613831.5</v>
      </c>
      <c r="G67" s="170"/>
      <c r="H67" s="171"/>
      <c r="I67" s="171"/>
      <c r="J67" s="171"/>
      <c r="K67" s="171"/>
      <c r="L67" s="171"/>
      <c r="M67" s="171"/>
      <c r="N67" s="171"/>
      <c r="O67" s="170"/>
      <c r="P67" s="170"/>
      <c r="Q67" s="170"/>
      <c r="R67" s="170"/>
    </row>
    <row r="68" spans="1:21" s="12" customFormat="1">
      <c r="A68" s="8"/>
      <c r="B68" s="172" t="s">
        <v>129</v>
      </c>
      <c r="C68" s="173">
        <v>1</v>
      </c>
      <c r="D68" s="51" t="s">
        <v>36</v>
      </c>
      <c r="E68" s="174">
        <f>1.4*250500</f>
        <v>350700</v>
      </c>
      <c r="F68" s="175">
        <f t="shared" si="1"/>
        <v>350700</v>
      </c>
      <c r="G68" s="170"/>
      <c r="H68" s="171"/>
      <c r="I68" s="171"/>
      <c r="J68" s="171"/>
      <c r="K68" s="171"/>
      <c r="L68" s="171"/>
      <c r="M68" s="171"/>
      <c r="N68" s="171"/>
      <c r="O68" s="170"/>
      <c r="P68" s="170"/>
      <c r="Q68" s="170"/>
      <c r="R68" s="170"/>
    </row>
    <row r="69" spans="1:21" s="12" customFormat="1" ht="13.5" thickBot="1">
      <c r="A69" s="8"/>
      <c r="B69" s="176" t="s">
        <v>130</v>
      </c>
      <c r="C69" s="177">
        <v>6</v>
      </c>
      <c r="D69" s="103" t="s">
        <v>131</v>
      </c>
      <c r="E69" s="178">
        <f>288900*1.1/3</f>
        <v>105930</v>
      </c>
      <c r="F69" s="179">
        <f t="shared" si="1"/>
        <v>635580</v>
      </c>
      <c r="G69" s="170"/>
      <c r="H69" s="171"/>
      <c r="I69" s="171"/>
      <c r="J69" s="171"/>
      <c r="K69" s="171"/>
      <c r="L69" s="171"/>
      <c r="M69" s="171"/>
      <c r="N69" s="171"/>
      <c r="O69" s="170"/>
      <c r="P69" s="170"/>
      <c r="Q69" s="170"/>
      <c r="R69" s="170"/>
    </row>
    <row r="70" spans="1:21" s="12" customFormat="1" ht="13.5" thickBot="1">
      <c r="A70" s="8"/>
      <c r="B70" s="180" t="s">
        <v>11</v>
      </c>
      <c r="C70" s="181"/>
      <c r="D70" s="182"/>
      <c r="E70" s="183"/>
      <c r="F70" s="184">
        <f>SUM(F61:F69)</f>
        <v>5493151.5</v>
      </c>
      <c r="G70" s="170"/>
      <c r="H70" s="171"/>
      <c r="I70" s="171"/>
      <c r="J70" s="171"/>
      <c r="K70" s="171"/>
      <c r="L70" s="171"/>
      <c r="M70" s="171"/>
      <c r="N70" s="171"/>
      <c r="O70" s="170"/>
      <c r="P70" s="170"/>
      <c r="Q70" s="170"/>
      <c r="R70" s="170"/>
    </row>
    <row r="71" spans="1:21" s="12" customFormat="1" ht="13.5" thickBot="1">
      <c r="A71" s="8"/>
      <c r="B71" s="185" t="s">
        <v>4</v>
      </c>
      <c r="C71" s="186"/>
      <c r="D71" s="186"/>
      <c r="E71" s="187"/>
      <c r="F71" s="188">
        <f>F70*18/118</f>
        <v>837938.36440677964</v>
      </c>
      <c r="G71" s="170"/>
      <c r="H71" s="171"/>
      <c r="I71" s="171"/>
      <c r="J71" s="171"/>
      <c r="K71" s="171"/>
      <c r="L71" s="171"/>
      <c r="M71" s="171"/>
      <c r="N71" s="171"/>
      <c r="O71" s="170"/>
      <c r="P71" s="170"/>
      <c r="Q71" s="170"/>
      <c r="R71" s="170"/>
    </row>
    <row r="72" spans="1:21" s="12" customFormat="1" ht="13.5" hidden="1" thickBot="1">
      <c r="A72" s="8"/>
      <c r="B72" s="185" t="s">
        <v>38</v>
      </c>
      <c r="C72" s="186"/>
      <c r="D72" s="189">
        <v>72</v>
      </c>
      <c r="E72" s="187"/>
      <c r="F72" s="190">
        <f>F70/D72</f>
        <v>76293.770833333328</v>
      </c>
      <c r="G72" s="170"/>
      <c r="H72" s="171"/>
      <c r="I72" s="171"/>
      <c r="J72" s="171"/>
      <c r="K72" s="171"/>
      <c r="L72" s="171"/>
      <c r="M72" s="171"/>
      <c r="N72" s="171"/>
      <c r="O72" s="170"/>
      <c r="P72" s="170"/>
      <c r="Q72" s="170"/>
      <c r="R72" s="170"/>
    </row>
    <row r="73" spans="1:21">
      <c r="B73" s="171"/>
      <c r="C73" s="170"/>
      <c r="D73" s="191"/>
      <c r="E73" s="170"/>
      <c r="F73" s="170"/>
      <c r="G73" s="192"/>
      <c r="H73" s="193"/>
      <c r="I73" s="193"/>
      <c r="J73" s="171"/>
      <c r="K73" s="170"/>
      <c r="L73" s="171"/>
      <c r="M73" s="171"/>
      <c r="N73" s="171"/>
      <c r="O73" s="171"/>
      <c r="P73" s="171"/>
      <c r="Q73" s="171"/>
      <c r="R73" s="171"/>
    </row>
    <row r="74" spans="1:21">
      <c r="B74" s="194" t="s">
        <v>132</v>
      </c>
      <c r="C74" s="170"/>
      <c r="D74" s="191"/>
      <c r="E74" s="170"/>
      <c r="F74" s="170"/>
      <c r="G74" s="192"/>
      <c r="H74" s="193"/>
      <c r="I74" s="193"/>
      <c r="J74" s="171"/>
      <c r="K74" s="170"/>
      <c r="L74" s="171"/>
      <c r="M74" s="171"/>
      <c r="N74" s="171"/>
      <c r="O74" s="171"/>
      <c r="P74" s="171"/>
      <c r="Q74" s="171"/>
      <c r="R74" s="171"/>
    </row>
    <row r="75" spans="1:21" ht="13.5" thickBot="1">
      <c r="B75" s="171"/>
      <c r="C75" s="170"/>
      <c r="D75" s="191"/>
      <c r="E75" s="170"/>
      <c r="F75" s="170"/>
      <c r="G75" s="192"/>
      <c r="H75" s="193"/>
      <c r="I75" s="193"/>
      <c r="J75" s="171"/>
      <c r="K75" s="170"/>
      <c r="L75" s="171"/>
      <c r="M75" s="171"/>
      <c r="N75" s="171"/>
      <c r="O75" s="171"/>
      <c r="P75" s="171"/>
      <c r="Q75" s="171"/>
      <c r="R75" s="171"/>
    </row>
    <row r="76" spans="1:21" s="78" customFormat="1" ht="24" thickBot="1">
      <c r="A76" s="76"/>
      <c r="B76" s="95" t="s">
        <v>78</v>
      </c>
      <c r="C76" s="93"/>
      <c r="D76" s="93"/>
      <c r="E76" s="93"/>
      <c r="F76" s="94"/>
      <c r="G76" s="145"/>
      <c r="H76" s="77"/>
      <c r="I76" s="77"/>
      <c r="K76" s="79"/>
    </row>
    <row r="77" spans="1:21" ht="13.5" thickBot="1">
      <c r="B77" s="171"/>
      <c r="C77" s="170"/>
      <c r="D77" s="191"/>
      <c r="E77" s="170"/>
      <c r="F77" s="170"/>
      <c r="G77" s="192"/>
      <c r="H77" s="193"/>
      <c r="I77" s="193"/>
      <c r="J77" s="171"/>
      <c r="K77" s="170"/>
      <c r="L77" s="171"/>
      <c r="M77" s="171"/>
      <c r="N77" s="171"/>
      <c r="O77" s="171"/>
      <c r="P77" s="171"/>
      <c r="Q77" s="171"/>
      <c r="R77" s="171"/>
    </row>
    <row r="78" spans="1:21" ht="13.5" thickBot="1">
      <c r="B78" s="71"/>
      <c r="C78" s="72"/>
      <c r="D78" s="73"/>
      <c r="E78" s="73"/>
      <c r="F78" s="74"/>
      <c r="G78" s="15"/>
      <c r="H78" s="16"/>
      <c r="I78" s="16"/>
    </row>
    <row r="79" spans="1:21" ht="140.25">
      <c r="B79" s="96" t="s">
        <v>133</v>
      </c>
      <c r="C79" s="97">
        <v>1</v>
      </c>
      <c r="D79" s="98" t="s">
        <v>5</v>
      </c>
      <c r="E79" s="99">
        <f>3209574*1.65*0.55+(848991+1271328+1156842+116248+1145600)*0.65</f>
        <v>5863044.2550000008</v>
      </c>
      <c r="F79" s="100">
        <f t="shared" ref="F79:F82" si="2">C79*E79</f>
        <v>5863044.2550000008</v>
      </c>
      <c r="G79" s="15"/>
      <c r="H79" s="16"/>
      <c r="I79" s="16"/>
      <c r="U79" s="11" t="s">
        <v>104</v>
      </c>
    </row>
    <row r="80" spans="1:21" ht="25.5">
      <c r="B80" s="53" t="s">
        <v>106</v>
      </c>
      <c r="C80" s="50">
        <v>1</v>
      </c>
      <c r="D80" s="51" t="s">
        <v>5</v>
      </c>
      <c r="E80" s="52">
        <f>0.9*451654</f>
        <v>406488.60000000003</v>
      </c>
      <c r="F80" s="54">
        <f t="shared" si="2"/>
        <v>406488.60000000003</v>
      </c>
      <c r="G80" s="15"/>
      <c r="H80" s="16"/>
      <c r="I80" s="16"/>
    </row>
    <row r="81" spans="2:16" ht="25.5">
      <c r="B81" s="53" t="s">
        <v>134</v>
      </c>
      <c r="C81" s="50">
        <v>1</v>
      </c>
      <c r="D81" s="51" t="s">
        <v>36</v>
      </c>
      <c r="E81" s="52">
        <f>2*580461*0.75</f>
        <v>870691.5</v>
      </c>
      <c r="F81" s="54">
        <f t="shared" si="2"/>
        <v>870691.5</v>
      </c>
      <c r="G81" s="15"/>
      <c r="H81" s="16"/>
      <c r="I81" s="16"/>
      <c r="P81" s="12">
        <f>F79+F81</f>
        <v>6733735.7550000008</v>
      </c>
    </row>
    <row r="82" spans="2:16" ht="13.5" thickBot="1">
      <c r="B82" s="53" t="s">
        <v>108</v>
      </c>
      <c r="C82" s="50">
        <v>1</v>
      </c>
      <c r="D82" s="51" t="s">
        <v>36</v>
      </c>
      <c r="E82" s="52">
        <v>315151</v>
      </c>
      <c r="F82" s="150">
        <f t="shared" si="2"/>
        <v>315151</v>
      </c>
      <c r="G82" s="15"/>
      <c r="H82" s="16"/>
      <c r="I82" s="16"/>
    </row>
    <row r="83" spans="2:16" ht="13.5" thickBot="1">
      <c r="B83" s="22" t="s">
        <v>11</v>
      </c>
      <c r="C83" s="23"/>
      <c r="D83" s="24"/>
      <c r="E83" s="25"/>
      <c r="F83" s="151">
        <f>SUM(F79:F82)</f>
        <v>7455375.3550000004</v>
      </c>
      <c r="G83" s="15"/>
      <c r="H83" s="16"/>
      <c r="I83" s="16"/>
    </row>
    <row r="84" spans="2:16" ht="13.5" thickBot="1">
      <c r="B84" s="20" t="s">
        <v>4</v>
      </c>
      <c r="C84" s="19"/>
      <c r="D84" s="18"/>
      <c r="E84" s="19"/>
      <c r="F84" s="21">
        <f>F83*18/118</f>
        <v>1137260.6473728814</v>
      </c>
      <c r="G84" s="15"/>
      <c r="H84" s="16"/>
      <c r="I84" s="16"/>
    </row>
    <row r="85" spans="2:16" ht="13.5" hidden="1" thickBot="1">
      <c r="B85" s="20" t="s">
        <v>38</v>
      </c>
      <c r="C85" s="19"/>
      <c r="D85" s="18">
        <v>87.2</v>
      </c>
      <c r="E85" s="19"/>
      <c r="F85" s="80">
        <f>F83/D85</f>
        <v>85497.423795871568</v>
      </c>
      <c r="G85" s="15"/>
      <c r="H85" s="16"/>
      <c r="I85" s="16"/>
    </row>
    <row r="86" spans="2:16" ht="25.5">
      <c r="B86" s="75" t="s">
        <v>57</v>
      </c>
      <c r="G86" s="15"/>
      <c r="H86" s="16"/>
      <c r="I86" s="16"/>
    </row>
    <row r="87" spans="2:16">
      <c r="B87" s="11" t="s">
        <v>37</v>
      </c>
      <c r="G87" s="15"/>
      <c r="H87" s="16"/>
      <c r="I87" s="16"/>
    </row>
    <row r="88" spans="2:16">
      <c r="B88" s="11" t="s">
        <v>109</v>
      </c>
      <c r="C88" s="57"/>
      <c r="D88" s="83"/>
      <c r="E88" s="125"/>
      <c r="F88" s="127"/>
      <c r="G88" s="15"/>
      <c r="H88" s="16"/>
      <c r="I88" s="16"/>
    </row>
    <row r="92" spans="2:16" ht="12.75" hidden="1" customHeight="1"/>
  </sheetData>
  <mergeCells count="22">
    <mergeCell ref="C27:D27"/>
    <mergeCell ref="E27:F27"/>
    <mergeCell ref="B29:F29"/>
    <mergeCell ref="B33:F33"/>
    <mergeCell ref="E44:F44"/>
    <mergeCell ref="B32:F32"/>
    <mergeCell ref="C23:F23"/>
    <mergeCell ref="B24:D24"/>
    <mergeCell ref="B25:F25"/>
    <mergeCell ref="B26:F26"/>
    <mergeCell ref="B8:F8"/>
    <mergeCell ref="B10:F10"/>
    <mergeCell ref="C11:D11"/>
    <mergeCell ref="D12:F12"/>
    <mergeCell ref="C13:D13"/>
    <mergeCell ref="B19:F19"/>
    <mergeCell ref="B6:F6"/>
    <mergeCell ref="C1:F1"/>
    <mergeCell ref="C3:F3"/>
    <mergeCell ref="B4:F4"/>
    <mergeCell ref="C5:D5"/>
    <mergeCell ref="E5:F5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topLeftCell="A74" zoomScaleNormal="100" zoomScaleSheetLayoutView="100" workbookViewId="0">
      <selection activeCell="B81" sqref="B81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3" style="12" customWidth="1"/>
    <col min="6" max="6" width="12.42578125" style="12" customWidth="1"/>
    <col min="7" max="7" width="8.7109375" style="144" hidden="1" customWidth="1"/>
    <col min="8" max="8" width="8.7109375" style="13" hidden="1" customWidth="1"/>
    <col min="9" max="9" width="6.85546875" style="13" hidden="1" customWidth="1"/>
    <col min="10" max="10" width="9.140625" style="11" customWidth="1"/>
    <col min="11" max="11" width="11.7109375" style="12" hidden="1" customWidth="1"/>
    <col min="12" max="12" width="9.140625" style="11" hidden="1" customWidth="1"/>
    <col min="13" max="13" width="12.140625" style="11" hidden="1" customWidth="1"/>
    <col min="14" max="15" width="9.140625" style="11" hidden="1" customWidth="1"/>
    <col min="16" max="16" width="11.28515625" style="11" hidden="1" customWidth="1"/>
    <col min="17" max="17" width="0" style="11" hidden="1" customWidth="1"/>
    <col min="18" max="18" width="3" style="11" customWidth="1"/>
    <col min="19" max="20" width="9.140625" style="11"/>
    <col min="21" max="22" width="0" style="11" hidden="1" customWidth="1"/>
    <col min="23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238" t="s">
        <v>116</v>
      </c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180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242"/>
      <c r="D9" s="242"/>
      <c r="E9" s="242"/>
      <c r="F9" s="242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239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239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239"/>
      <c r="F15" s="34"/>
      <c r="G15" s="15"/>
      <c r="H15" s="16"/>
      <c r="I15" s="16"/>
    </row>
    <row r="16" spans="1:11" hidden="1">
      <c r="B16" s="17" t="s">
        <v>10</v>
      </c>
      <c r="C16" s="43"/>
      <c r="D16" s="240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236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236"/>
      <c r="C20" s="46"/>
      <c r="D20" s="15"/>
      <c r="E20" s="55"/>
      <c r="F20" s="27"/>
      <c r="G20" s="15"/>
      <c r="H20" s="16"/>
      <c r="I20" s="16"/>
    </row>
    <row r="21" spans="1:11">
      <c r="B21" s="236"/>
      <c r="C21" s="46"/>
      <c r="D21" s="15"/>
      <c r="E21" s="55"/>
      <c r="F21" s="27"/>
      <c r="G21" s="15"/>
      <c r="H21" s="16"/>
      <c r="I21" s="16"/>
    </row>
    <row r="22" spans="1:11" ht="148.5" customHeight="1">
      <c r="B22" s="236"/>
      <c r="C22" s="46"/>
      <c r="D22" s="35"/>
      <c r="E22" s="4"/>
      <c r="F22" s="27"/>
      <c r="G22" s="15"/>
      <c r="H22" s="16"/>
      <c r="I22" s="16"/>
    </row>
    <row r="23" spans="1:11" ht="175.5" customHeight="1" thickBot="1">
      <c r="B23" s="236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s="78" customFormat="1" ht="34.5" customHeight="1" thickBot="1">
      <c r="A27" s="76"/>
      <c r="B27" s="92" t="s">
        <v>80</v>
      </c>
      <c r="C27" s="282"/>
      <c r="D27" s="283"/>
      <c r="E27" s="284"/>
      <c r="F27" s="285"/>
      <c r="G27" s="145"/>
      <c r="H27" s="77"/>
      <c r="I27" s="77"/>
      <c r="K27" s="79"/>
    </row>
    <row r="28" spans="1:11" s="78" customFormat="1" ht="23.25">
      <c r="A28" s="76"/>
      <c r="B28" s="241" t="s">
        <v>62</v>
      </c>
      <c r="C28" s="237"/>
      <c r="D28" s="237"/>
      <c r="E28" s="237"/>
      <c r="F28" s="237"/>
      <c r="G28" s="145"/>
      <c r="H28" s="77"/>
      <c r="I28" s="77"/>
      <c r="K28" s="79"/>
    </row>
    <row r="29" spans="1:11" s="78" customFormat="1" ht="122.25" customHeight="1" thickBot="1">
      <c r="A29" s="76"/>
      <c r="B29" s="287" t="s">
        <v>185</v>
      </c>
      <c r="C29" s="288"/>
      <c r="D29" s="288"/>
      <c r="E29" s="288"/>
      <c r="F29" s="288"/>
      <c r="G29" s="145"/>
      <c r="H29" s="77"/>
      <c r="I29" s="77"/>
      <c r="K29" s="79"/>
    </row>
    <row r="30" spans="1:11" s="78" customFormat="1" ht="24" thickBot="1">
      <c r="A30" s="76"/>
      <c r="B30" s="95" t="s">
        <v>74</v>
      </c>
      <c r="C30" s="93"/>
      <c r="D30" s="93"/>
      <c r="E30" s="93"/>
      <c r="F30" s="94"/>
      <c r="G30" s="145"/>
      <c r="H30" s="77"/>
      <c r="I30" s="77"/>
      <c r="K30" s="79"/>
    </row>
    <row r="31" spans="1:11" ht="16.5" thickBot="1">
      <c r="B31" s="81" t="s">
        <v>40</v>
      </c>
      <c r="C31" s="241"/>
      <c r="D31" s="14"/>
      <c r="E31" s="14"/>
      <c r="F31" s="82"/>
      <c r="G31" s="15"/>
      <c r="H31" s="16"/>
      <c r="I31" s="16"/>
    </row>
    <row r="32" spans="1:11" ht="57.75" customHeight="1" thickBot="1">
      <c r="B32" s="289" t="s">
        <v>92</v>
      </c>
      <c r="C32" s="290"/>
      <c r="D32" s="290"/>
      <c r="E32" s="290"/>
      <c r="F32" s="291"/>
      <c r="G32" s="15"/>
      <c r="H32" s="16"/>
      <c r="I32" s="16"/>
    </row>
    <row r="33" spans="2:11" ht="56.25" customHeight="1" thickBot="1">
      <c r="B33" s="297" t="s">
        <v>186</v>
      </c>
      <c r="C33" s="298"/>
      <c r="D33" s="298"/>
      <c r="E33" s="298"/>
      <c r="F33" s="299"/>
      <c r="G33" s="15"/>
      <c r="H33" s="16"/>
      <c r="I33" s="16"/>
    </row>
    <row r="34" spans="2:11">
      <c r="B34" s="90" t="s">
        <v>45</v>
      </c>
      <c r="C34" s="56"/>
      <c r="D34" s="86" t="s">
        <v>119</v>
      </c>
      <c r="E34" s="153"/>
      <c r="F34" s="154"/>
      <c r="G34" s="15"/>
      <c r="H34" s="16"/>
      <c r="I34" s="16"/>
    </row>
    <row r="35" spans="2:11">
      <c r="B35" s="17" t="s">
        <v>46</v>
      </c>
      <c r="C35" s="57"/>
      <c r="D35" s="83"/>
      <c r="E35" s="83"/>
      <c r="F35" s="85"/>
      <c r="G35" s="15"/>
      <c r="H35" s="16"/>
      <c r="I35" s="16"/>
    </row>
    <row r="36" spans="2:11">
      <c r="B36" s="17" t="s">
        <v>47</v>
      </c>
      <c r="C36" s="57" t="s">
        <v>48</v>
      </c>
      <c r="D36" s="87">
        <f>66</f>
        <v>66</v>
      </c>
      <c r="E36" s="83">
        <v>-72</v>
      </c>
      <c r="F36" s="85"/>
      <c r="G36" s="15"/>
      <c r="H36" s="16"/>
      <c r="I36" s="16"/>
    </row>
    <row r="37" spans="2:11">
      <c r="B37" s="17" t="s">
        <v>49</v>
      </c>
      <c r="C37" s="57" t="s">
        <v>48</v>
      </c>
      <c r="D37" s="87">
        <v>32</v>
      </c>
      <c r="E37" s="83"/>
      <c r="F37" s="85"/>
      <c r="G37" s="15"/>
      <c r="H37" s="16"/>
      <c r="I37" s="16"/>
    </row>
    <row r="38" spans="2:11" ht="25.5">
      <c r="B38" s="17" t="s">
        <v>188</v>
      </c>
      <c r="C38" s="57" t="s">
        <v>25</v>
      </c>
      <c r="D38" s="87">
        <v>388</v>
      </c>
      <c r="E38" s="83"/>
      <c r="F38" s="85"/>
      <c r="G38" s="15"/>
      <c r="H38" s="16"/>
      <c r="I38" s="16"/>
    </row>
    <row r="39" spans="2:11" ht="25.5">
      <c r="B39" s="17" t="s">
        <v>187</v>
      </c>
      <c r="C39" s="57" t="s">
        <v>25</v>
      </c>
      <c r="D39" s="87">
        <v>366</v>
      </c>
      <c r="E39" s="83"/>
      <c r="F39" s="85"/>
      <c r="G39" s="15"/>
      <c r="H39" s="16"/>
      <c r="I39" s="16"/>
    </row>
    <row r="40" spans="2:11">
      <c r="B40" s="17" t="s">
        <v>51</v>
      </c>
      <c r="C40" s="57" t="s">
        <v>25</v>
      </c>
      <c r="D40" s="87">
        <v>315</v>
      </c>
      <c r="E40" s="87"/>
      <c r="F40" s="155"/>
      <c r="G40" s="15"/>
      <c r="H40" s="16"/>
      <c r="I40" s="16"/>
    </row>
    <row r="41" spans="2:11">
      <c r="B41" s="17" t="s">
        <v>52</v>
      </c>
      <c r="C41" s="57"/>
      <c r="D41" s="121" t="s">
        <v>122</v>
      </c>
      <c r="E41" s="83"/>
      <c r="F41" s="85"/>
      <c r="G41" s="15"/>
      <c r="H41" s="16"/>
      <c r="I41" s="16"/>
    </row>
    <row r="42" spans="2:11">
      <c r="B42" s="17" t="s">
        <v>53</v>
      </c>
      <c r="C42" s="57" t="s">
        <v>24</v>
      </c>
      <c r="D42" s="87">
        <v>-9</v>
      </c>
      <c r="E42" s="84"/>
      <c r="F42" s="64"/>
      <c r="G42" s="15"/>
      <c r="H42" s="16"/>
      <c r="I42" s="16"/>
    </row>
    <row r="43" spans="2:11" ht="13.5" thickBot="1">
      <c r="B43" s="17" t="s">
        <v>54</v>
      </c>
      <c r="C43" s="57" t="s">
        <v>24</v>
      </c>
      <c r="D43" s="87">
        <v>-12</v>
      </c>
      <c r="E43" s="55"/>
      <c r="F43" s="64"/>
      <c r="G43" s="15"/>
      <c r="H43" s="16"/>
      <c r="I43" s="16"/>
    </row>
    <row r="44" spans="2:11" ht="13.5" hidden="1" thickBot="1">
      <c r="B44" s="17" t="s">
        <v>55</v>
      </c>
      <c r="C44" s="57" t="s">
        <v>26</v>
      </c>
      <c r="D44" s="83">
        <f>D39/(1060*3.5*(D42-D43))*3600</f>
        <v>118.38274932614554</v>
      </c>
      <c r="E44" s="274"/>
      <c r="F44" s="275"/>
      <c r="G44" s="15"/>
      <c r="H44" s="16"/>
      <c r="I44" s="16"/>
    </row>
    <row r="45" spans="2:11" ht="13.5" hidden="1" thickBot="1">
      <c r="B45" s="91" t="s">
        <v>56</v>
      </c>
      <c r="C45" s="88" t="s">
        <v>48</v>
      </c>
      <c r="D45" s="89">
        <v>20</v>
      </c>
      <c r="E45" s="148"/>
      <c r="F45" s="149"/>
      <c r="G45" s="15"/>
      <c r="H45" s="16"/>
      <c r="I45" s="16"/>
    </row>
    <row r="46" spans="2:11">
      <c r="B46" s="156" t="s">
        <v>123</v>
      </c>
      <c r="C46" s="157"/>
      <c r="D46" s="158">
        <f>70*1.15*3+8.5+3</f>
        <v>253</v>
      </c>
      <c r="E46" s="159" t="s">
        <v>19</v>
      </c>
      <c r="F46" s="160"/>
      <c r="G46" s="119"/>
      <c r="H46" s="11"/>
      <c r="I46" s="12"/>
      <c r="K46" s="11"/>
    </row>
    <row r="47" spans="2:11" ht="13.5" thickBot="1">
      <c r="B47" s="161" t="s">
        <v>124</v>
      </c>
      <c r="C47" s="162"/>
      <c r="D47" s="163">
        <f>116.15*1.35</f>
        <v>156.80250000000001</v>
      </c>
      <c r="E47" s="164"/>
      <c r="F47" s="165"/>
      <c r="G47" s="119"/>
      <c r="H47" s="11"/>
      <c r="I47" s="12"/>
      <c r="K47" s="11"/>
    </row>
    <row r="48" spans="2:11" ht="25.5">
      <c r="B48" s="17" t="s">
        <v>181</v>
      </c>
      <c r="C48" s="57"/>
      <c r="D48" s="83"/>
      <c r="E48" s="239"/>
      <c r="F48" s="34"/>
      <c r="G48" s="15"/>
      <c r="H48" s="16"/>
      <c r="I48" s="16"/>
    </row>
    <row r="49" spans="2:21">
      <c r="B49" s="17"/>
      <c r="C49" s="57"/>
      <c r="D49" s="83"/>
      <c r="E49" s="239"/>
      <c r="F49" s="34"/>
      <c r="G49" s="15"/>
      <c r="H49" s="16"/>
      <c r="I49" s="16"/>
    </row>
    <row r="50" spans="2:21" ht="13.5" thickBot="1">
      <c r="B50" s="91"/>
      <c r="C50" s="88"/>
      <c r="D50" s="89"/>
      <c r="E50" s="148"/>
      <c r="F50" s="149"/>
      <c r="G50" s="15"/>
      <c r="H50" s="16"/>
      <c r="I50" s="16"/>
    </row>
    <row r="51" spans="2:21" ht="13.5" thickBot="1">
      <c r="B51" s="30"/>
      <c r="C51" s="31"/>
      <c r="D51" s="32"/>
      <c r="E51" s="32"/>
      <c r="F51" s="33"/>
      <c r="G51" s="15"/>
      <c r="H51" s="16"/>
      <c r="I51" s="16"/>
    </row>
    <row r="52" spans="2:21" ht="13.5" thickBot="1">
      <c r="B52" s="71"/>
      <c r="C52" s="72"/>
      <c r="D52" s="73"/>
      <c r="E52" s="73"/>
      <c r="F52" s="74"/>
      <c r="G52" s="15"/>
      <c r="H52" s="16"/>
      <c r="I52" s="16"/>
    </row>
    <row r="53" spans="2:21" ht="140.25">
      <c r="B53" s="96" t="s">
        <v>183</v>
      </c>
      <c r="C53" s="97">
        <v>1</v>
      </c>
      <c r="D53" s="98" t="s">
        <v>5</v>
      </c>
      <c r="E53" s="99">
        <f>3209574*1.55+848991+1271328+1156842+116248+1145600+85000</f>
        <v>9598848.6999999993</v>
      </c>
      <c r="F53" s="100">
        <f t="shared" ref="F53:F57" si="0">C53*E53</f>
        <v>9598848.6999999993</v>
      </c>
      <c r="G53" s="15"/>
      <c r="H53" s="16"/>
      <c r="I53" s="16"/>
      <c r="U53" s="11" t="s">
        <v>104</v>
      </c>
    </row>
    <row r="54" spans="2:21" ht="25.5">
      <c r="B54" s="53" t="s">
        <v>184</v>
      </c>
      <c r="C54" s="50">
        <v>1</v>
      </c>
      <c r="D54" s="51" t="s">
        <v>36</v>
      </c>
      <c r="E54" s="52">
        <f>78413</f>
        <v>78413</v>
      </c>
      <c r="F54" s="54">
        <f t="shared" si="0"/>
        <v>78413</v>
      </c>
      <c r="G54" s="15"/>
      <c r="H54" s="16"/>
      <c r="I54" s="16"/>
    </row>
    <row r="55" spans="2:21" ht="25.5">
      <c r="B55" s="53" t="s">
        <v>106</v>
      </c>
      <c r="C55" s="50">
        <v>1</v>
      </c>
      <c r="D55" s="51" t="s">
        <v>5</v>
      </c>
      <c r="E55" s="52">
        <f>0.9*451654</f>
        <v>406488.60000000003</v>
      </c>
      <c r="F55" s="54">
        <f t="shared" si="0"/>
        <v>406488.60000000003</v>
      </c>
      <c r="G55" s="15"/>
      <c r="H55" s="16"/>
      <c r="I55" s="16"/>
    </row>
    <row r="56" spans="2:21" ht="25.5">
      <c r="B56" s="53" t="s">
        <v>182</v>
      </c>
      <c r="C56" s="50">
        <v>1</v>
      </c>
      <c r="D56" s="51" t="s">
        <v>36</v>
      </c>
      <c r="E56" s="52">
        <f>2*580461*1.15</f>
        <v>1335060.2999999998</v>
      </c>
      <c r="F56" s="54">
        <f t="shared" si="0"/>
        <v>1335060.2999999998</v>
      </c>
      <c r="G56" s="15"/>
      <c r="H56" s="16"/>
      <c r="I56" s="16"/>
      <c r="P56" s="12">
        <f>F53+F56</f>
        <v>10933909</v>
      </c>
    </row>
    <row r="57" spans="2:21" ht="13.5" thickBot="1">
      <c r="B57" s="101" t="s">
        <v>108</v>
      </c>
      <c r="C57" s="102">
        <v>1</v>
      </c>
      <c r="D57" s="103" t="s">
        <v>36</v>
      </c>
      <c r="E57" s="104">
        <v>315151</v>
      </c>
      <c r="F57" s="105">
        <f t="shared" si="0"/>
        <v>315151</v>
      </c>
      <c r="G57" s="15"/>
      <c r="H57" s="16"/>
      <c r="I57" s="16"/>
    </row>
    <row r="58" spans="2:21" ht="13.5" thickBot="1">
      <c r="B58" s="22" t="s">
        <v>11</v>
      </c>
      <c r="C58" s="23"/>
      <c r="D58" s="24"/>
      <c r="E58" s="25"/>
      <c r="F58" s="26">
        <f>SUM(F53:F57)</f>
        <v>11733961.599999998</v>
      </c>
      <c r="G58" s="15"/>
      <c r="H58" s="16"/>
      <c r="I58" s="16"/>
    </row>
    <row r="59" spans="2:21" ht="13.5" thickBot="1">
      <c r="B59" s="20" t="s">
        <v>4</v>
      </c>
      <c r="C59" s="19"/>
      <c r="D59" s="18"/>
      <c r="E59" s="19"/>
      <c r="F59" s="21">
        <f>F58*18/118</f>
        <v>1789926.3457627115</v>
      </c>
      <c r="G59" s="15"/>
      <c r="H59" s="16"/>
      <c r="I59" s="16"/>
    </row>
    <row r="60" spans="2:21" ht="13.5" hidden="1" thickBot="1">
      <c r="B60" s="20" t="s">
        <v>38</v>
      </c>
      <c r="C60" s="19"/>
      <c r="D60" s="18">
        <v>87.2</v>
      </c>
      <c r="E60" s="19"/>
      <c r="F60" s="80">
        <f>F58/D60</f>
        <v>134563.77981651374</v>
      </c>
      <c r="G60" s="15"/>
      <c r="H60" s="16"/>
      <c r="I60" s="16"/>
    </row>
    <row r="61" spans="2:21" ht="25.5">
      <c r="B61" s="75" t="s">
        <v>57</v>
      </c>
      <c r="G61" s="15"/>
      <c r="H61" s="16"/>
      <c r="I61" s="16"/>
    </row>
    <row r="62" spans="2:21">
      <c r="B62" s="11" t="s">
        <v>37</v>
      </c>
      <c r="G62" s="15"/>
      <c r="H62" s="16"/>
      <c r="I62" s="16"/>
    </row>
    <row r="63" spans="2:21">
      <c r="B63" s="11" t="s">
        <v>109</v>
      </c>
      <c r="C63" s="57"/>
      <c r="D63" s="83"/>
      <c r="E63" s="239"/>
      <c r="F63" s="242"/>
      <c r="G63" s="15"/>
      <c r="H63" s="16"/>
      <c r="I63" s="16"/>
    </row>
    <row r="64" spans="2:21" ht="37.5" customHeight="1">
      <c r="B64" s="242" t="s">
        <v>110</v>
      </c>
      <c r="C64" s="57"/>
      <c r="D64" s="83"/>
      <c r="E64" s="239"/>
      <c r="F64" s="242"/>
      <c r="G64" s="15"/>
      <c r="H64" s="16"/>
      <c r="I64" s="16"/>
    </row>
    <row r="65" spans="1:21" ht="13.5" thickBot="1"/>
    <row r="66" spans="1:21" s="12" customFormat="1">
      <c r="A66" s="8"/>
      <c r="B66" s="166" t="s">
        <v>59</v>
      </c>
      <c r="C66" s="167">
        <v>1</v>
      </c>
      <c r="D66" s="98" t="s">
        <v>36</v>
      </c>
      <c r="E66" s="168">
        <f>1.25*(2796500/(56*26))*72*32</f>
        <v>5531538.461538462</v>
      </c>
      <c r="F66" s="169">
        <f t="shared" ref="F66:F70" si="1">C66*E66</f>
        <v>5531538.461538462</v>
      </c>
      <c r="G66" s="170"/>
      <c r="H66" s="171"/>
      <c r="I66" s="171"/>
      <c r="J66" s="171"/>
      <c r="K66" s="171"/>
      <c r="L66" s="171"/>
      <c r="M66" s="171"/>
      <c r="N66" s="171"/>
      <c r="O66" s="170"/>
      <c r="P66" s="170"/>
      <c r="Q66" s="170"/>
      <c r="R66" s="170"/>
    </row>
    <row r="67" spans="1:21" s="12" customFormat="1" ht="25.5">
      <c r="A67" s="8"/>
      <c r="B67" s="172" t="s">
        <v>127</v>
      </c>
      <c r="C67" s="173">
        <v>1</v>
      </c>
      <c r="D67" s="51" t="s">
        <v>36</v>
      </c>
      <c r="E67" s="174">
        <f>397415*1.5</f>
        <v>596122.5</v>
      </c>
      <c r="F67" s="175">
        <f t="shared" si="1"/>
        <v>596122.5</v>
      </c>
      <c r="G67" s="170"/>
      <c r="H67" s="171"/>
      <c r="I67" s="171"/>
      <c r="J67" s="171"/>
      <c r="K67" s="171"/>
      <c r="L67" s="171"/>
      <c r="M67" s="171"/>
      <c r="N67" s="171"/>
      <c r="O67" s="170"/>
      <c r="P67" s="170"/>
      <c r="Q67" s="170"/>
      <c r="R67" s="170"/>
    </row>
    <row r="68" spans="1:21" s="12" customFormat="1" ht="25.5">
      <c r="A68" s="8"/>
      <c r="B68" s="172" t="s">
        <v>128</v>
      </c>
      <c r="C68" s="173">
        <v>1</v>
      </c>
      <c r="D68" s="51" t="s">
        <v>21</v>
      </c>
      <c r="E68" s="174">
        <f>1.4*613831.5</f>
        <v>859364.1</v>
      </c>
      <c r="F68" s="175">
        <f t="shared" si="1"/>
        <v>859364.1</v>
      </c>
      <c r="G68" s="170"/>
      <c r="H68" s="171"/>
      <c r="I68" s="171"/>
      <c r="J68" s="171"/>
      <c r="K68" s="171"/>
      <c r="L68" s="171"/>
      <c r="M68" s="171"/>
      <c r="N68" s="171"/>
      <c r="O68" s="170"/>
      <c r="P68" s="170"/>
      <c r="Q68" s="170"/>
      <c r="R68" s="170"/>
    </row>
    <row r="69" spans="1:21" s="12" customFormat="1">
      <c r="A69" s="8"/>
      <c r="B69" s="172" t="s">
        <v>129</v>
      </c>
      <c r="C69" s="173">
        <v>1</v>
      </c>
      <c r="D69" s="51" t="s">
        <v>36</v>
      </c>
      <c r="E69" s="174">
        <f>1.4*250500*1.7</f>
        <v>596190</v>
      </c>
      <c r="F69" s="175">
        <f t="shared" si="1"/>
        <v>596190</v>
      </c>
      <c r="G69" s="170"/>
      <c r="H69" s="171"/>
      <c r="I69" s="171"/>
      <c r="J69" s="171"/>
      <c r="K69" s="171"/>
      <c r="L69" s="171"/>
      <c r="M69" s="171"/>
      <c r="N69" s="171"/>
      <c r="O69" s="170"/>
      <c r="P69" s="170"/>
      <c r="Q69" s="170"/>
      <c r="R69" s="170"/>
    </row>
    <row r="70" spans="1:21" s="12" customFormat="1" ht="13.5" thickBot="1">
      <c r="A70" s="8"/>
      <c r="B70" s="176" t="s">
        <v>130</v>
      </c>
      <c r="C70" s="177">
        <v>9</v>
      </c>
      <c r="D70" s="103" t="s">
        <v>131</v>
      </c>
      <c r="E70" s="178">
        <f>288900*1.1/3</f>
        <v>105930</v>
      </c>
      <c r="F70" s="179">
        <f t="shared" si="1"/>
        <v>953370</v>
      </c>
      <c r="G70" s="170"/>
      <c r="H70" s="171"/>
      <c r="I70" s="171"/>
      <c r="J70" s="171"/>
      <c r="K70" s="171"/>
      <c r="L70" s="171"/>
      <c r="M70" s="171"/>
      <c r="N70" s="171"/>
      <c r="O70" s="170"/>
      <c r="P70" s="170"/>
      <c r="Q70" s="170"/>
      <c r="R70" s="170"/>
    </row>
    <row r="71" spans="1:21" s="12" customFormat="1" ht="13.5" thickBot="1">
      <c r="A71" s="8"/>
      <c r="B71" s="180" t="s">
        <v>11</v>
      </c>
      <c r="C71" s="181"/>
      <c r="D71" s="182"/>
      <c r="E71" s="183"/>
      <c r="F71" s="184">
        <f>SUM(F62:F70)</f>
        <v>8536585.0615384616</v>
      </c>
      <c r="G71" s="170"/>
      <c r="H71" s="171"/>
      <c r="I71" s="171"/>
      <c r="J71" s="171"/>
      <c r="K71" s="171"/>
      <c r="L71" s="171"/>
      <c r="M71" s="171"/>
      <c r="N71" s="171"/>
      <c r="O71" s="170"/>
      <c r="P71" s="170"/>
      <c r="Q71" s="170"/>
      <c r="R71" s="170"/>
    </row>
    <row r="72" spans="1:21" s="12" customFormat="1" ht="13.5" thickBot="1">
      <c r="A72" s="8"/>
      <c r="B72" s="185" t="s">
        <v>4</v>
      </c>
      <c r="C72" s="186"/>
      <c r="D72" s="186"/>
      <c r="E72" s="187"/>
      <c r="F72" s="188">
        <f>F71*18/118</f>
        <v>1302190.9415906128</v>
      </c>
      <c r="G72" s="170"/>
      <c r="H72" s="171"/>
      <c r="I72" s="171"/>
      <c r="J72" s="171"/>
      <c r="K72" s="171"/>
      <c r="L72" s="171"/>
      <c r="M72" s="171"/>
      <c r="N72" s="171"/>
      <c r="O72" s="170"/>
      <c r="P72" s="170"/>
      <c r="Q72" s="170"/>
      <c r="R72" s="170"/>
    </row>
    <row r="73" spans="1:21" s="12" customFormat="1" ht="13.5" hidden="1" thickBot="1">
      <c r="A73" s="8"/>
      <c r="B73" s="185" t="s">
        <v>38</v>
      </c>
      <c r="C73" s="186"/>
      <c r="D73" s="189">
        <v>72</v>
      </c>
      <c r="E73" s="187"/>
      <c r="F73" s="190">
        <f>F71/D73</f>
        <v>118563.68141025641</v>
      </c>
      <c r="G73" s="170"/>
      <c r="H73" s="171"/>
      <c r="I73" s="171"/>
      <c r="J73" s="171"/>
      <c r="K73" s="171"/>
      <c r="L73" s="171"/>
      <c r="M73" s="171"/>
      <c r="N73" s="171"/>
      <c r="O73" s="170"/>
      <c r="P73" s="170"/>
      <c r="Q73" s="170"/>
      <c r="R73" s="170"/>
    </row>
    <row r="74" spans="1:21">
      <c r="B74" s="171"/>
      <c r="C74" s="170"/>
      <c r="D74" s="191"/>
      <c r="E74" s="170"/>
      <c r="F74" s="170"/>
      <c r="G74" s="192"/>
      <c r="H74" s="193"/>
      <c r="I74" s="193"/>
      <c r="J74" s="171"/>
      <c r="K74" s="170"/>
      <c r="L74" s="171"/>
      <c r="M74" s="171"/>
      <c r="N74" s="171"/>
      <c r="O74" s="171"/>
      <c r="P74" s="171"/>
      <c r="Q74" s="171"/>
      <c r="R74" s="171"/>
    </row>
    <row r="75" spans="1:21">
      <c r="B75" s="194" t="s">
        <v>132</v>
      </c>
      <c r="C75" s="170"/>
      <c r="D75" s="191"/>
      <c r="E75" s="170"/>
      <c r="F75" s="170"/>
      <c r="G75" s="192"/>
      <c r="H75" s="193"/>
      <c r="I75" s="193"/>
      <c r="J75" s="171"/>
      <c r="K75" s="170"/>
      <c r="L75" s="171"/>
      <c r="M75" s="171"/>
      <c r="N75" s="171"/>
      <c r="O75" s="171"/>
      <c r="P75" s="171"/>
      <c r="Q75" s="171"/>
      <c r="R75" s="171"/>
    </row>
    <row r="76" spans="1:21" ht="13.5" thickBot="1">
      <c r="B76" s="171"/>
      <c r="C76" s="170"/>
      <c r="D76" s="191"/>
      <c r="E76" s="170"/>
      <c r="F76" s="170"/>
      <c r="G76" s="192"/>
      <c r="H76" s="193"/>
      <c r="I76" s="193"/>
      <c r="J76" s="171"/>
      <c r="K76" s="170"/>
      <c r="L76" s="171"/>
      <c r="M76" s="171"/>
      <c r="N76" s="171"/>
      <c r="O76" s="171"/>
      <c r="P76" s="171"/>
      <c r="Q76" s="171"/>
      <c r="R76" s="171"/>
    </row>
    <row r="77" spans="1:21" s="78" customFormat="1" ht="24" thickBot="1">
      <c r="A77" s="76"/>
      <c r="B77" s="95" t="s">
        <v>78</v>
      </c>
      <c r="C77" s="93"/>
      <c r="D77" s="93"/>
      <c r="E77" s="93"/>
      <c r="F77" s="94"/>
      <c r="G77" s="145"/>
      <c r="H77" s="77"/>
      <c r="I77" s="77"/>
      <c r="K77" s="79"/>
    </row>
    <row r="78" spans="1:21" ht="13.5" thickBot="1">
      <c r="B78" s="171"/>
      <c r="C78" s="170"/>
      <c r="D78" s="191"/>
      <c r="E78" s="170"/>
      <c r="F78" s="170"/>
      <c r="G78" s="192"/>
      <c r="H78" s="193"/>
      <c r="I78" s="193"/>
      <c r="J78" s="171"/>
      <c r="K78" s="170"/>
      <c r="L78" s="171"/>
      <c r="M78" s="171"/>
      <c r="N78" s="171"/>
      <c r="O78" s="171"/>
      <c r="P78" s="171"/>
      <c r="Q78" s="171"/>
      <c r="R78" s="171"/>
    </row>
    <row r="79" spans="1:21" ht="13.5" thickBot="1">
      <c r="B79" s="71"/>
      <c r="C79" s="72"/>
      <c r="D79" s="73"/>
      <c r="E79" s="73"/>
      <c r="F79" s="74"/>
      <c r="G79" s="15"/>
      <c r="H79" s="16"/>
      <c r="I79" s="16"/>
    </row>
    <row r="80" spans="1:21" ht="140.25">
      <c r="B80" s="96" t="s">
        <v>189</v>
      </c>
      <c r="C80" s="97">
        <v>1</v>
      </c>
      <c r="D80" s="98" t="s">
        <v>5</v>
      </c>
      <c r="E80" s="99">
        <f>(3209574*1.55+848991+1271328+1156842+116248+1145600+85000)*0.65</f>
        <v>6239251.6549999993</v>
      </c>
      <c r="F80" s="100">
        <f t="shared" ref="F80:F84" si="2">C80*E80</f>
        <v>6239251.6549999993</v>
      </c>
      <c r="G80" s="15"/>
      <c r="H80" s="16"/>
      <c r="I80" s="16"/>
      <c r="U80" s="11" t="s">
        <v>104</v>
      </c>
    </row>
    <row r="81" spans="2:16" ht="25.5">
      <c r="B81" s="53" t="s">
        <v>184</v>
      </c>
      <c r="C81" s="50">
        <v>1</v>
      </c>
      <c r="D81" s="51" t="s">
        <v>36</v>
      </c>
      <c r="E81" s="52">
        <f>78413</f>
        <v>78413</v>
      </c>
      <c r="F81" s="54">
        <f t="shared" si="2"/>
        <v>78413</v>
      </c>
      <c r="G81" s="15"/>
      <c r="H81" s="16"/>
      <c r="I81" s="16"/>
    </row>
    <row r="82" spans="2:16" ht="25.5">
      <c r="B82" s="53" t="s">
        <v>106</v>
      </c>
      <c r="C82" s="50">
        <v>1</v>
      </c>
      <c r="D82" s="51" t="s">
        <v>5</v>
      </c>
      <c r="E82" s="52">
        <f>0.9*451654</f>
        <v>406488.60000000003</v>
      </c>
      <c r="F82" s="54">
        <f t="shared" si="2"/>
        <v>406488.60000000003</v>
      </c>
      <c r="G82" s="15"/>
      <c r="H82" s="16"/>
      <c r="I82" s="16"/>
    </row>
    <row r="83" spans="2:16" ht="25.5">
      <c r="B83" s="53" t="s">
        <v>182</v>
      </c>
      <c r="C83" s="50">
        <v>1</v>
      </c>
      <c r="D83" s="51" t="s">
        <v>36</v>
      </c>
      <c r="E83" s="52">
        <f>2*580461*1.15</f>
        <v>1335060.2999999998</v>
      </c>
      <c r="F83" s="54">
        <f t="shared" si="2"/>
        <v>1335060.2999999998</v>
      </c>
      <c r="G83" s="15"/>
      <c r="H83" s="16"/>
      <c r="I83" s="16"/>
      <c r="P83" s="12">
        <f>F80+F83</f>
        <v>7574311.9549999991</v>
      </c>
    </row>
    <row r="84" spans="2:16" ht="13.5" thickBot="1">
      <c r="B84" s="101" t="s">
        <v>108</v>
      </c>
      <c r="C84" s="102">
        <v>1</v>
      </c>
      <c r="D84" s="103" t="s">
        <v>36</v>
      </c>
      <c r="E84" s="104">
        <v>315151</v>
      </c>
      <c r="F84" s="105">
        <f t="shared" si="2"/>
        <v>315151</v>
      </c>
      <c r="G84" s="15"/>
      <c r="H84" s="16"/>
      <c r="I84" s="16"/>
    </row>
    <row r="85" spans="2:16" ht="13.5" thickBot="1">
      <c r="B85" s="22" t="s">
        <v>11</v>
      </c>
      <c r="C85" s="23"/>
      <c r="D85" s="24"/>
      <c r="E85" s="25"/>
      <c r="F85" s="151">
        <f>SUM(F80:F84)</f>
        <v>8374364.5549999988</v>
      </c>
      <c r="G85" s="15"/>
      <c r="H85" s="16"/>
      <c r="I85" s="16"/>
    </row>
    <row r="86" spans="2:16" ht="13.5" thickBot="1">
      <c r="B86" s="20" t="s">
        <v>4</v>
      </c>
      <c r="C86" s="19"/>
      <c r="D86" s="18"/>
      <c r="E86" s="19"/>
      <c r="F86" s="21">
        <f>F85*18/118</f>
        <v>1277445.4405932201</v>
      </c>
      <c r="G86" s="15"/>
      <c r="H86" s="16"/>
      <c r="I86" s="16"/>
    </row>
    <row r="87" spans="2:16" ht="13.5" hidden="1" thickBot="1">
      <c r="B87" s="20" t="s">
        <v>38</v>
      </c>
      <c r="C87" s="19"/>
      <c r="D87" s="18">
        <v>87.2</v>
      </c>
      <c r="E87" s="19"/>
      <c r="F87" s="80">
        <f>F85/D87</f>
        <v>96036.290768348612</v>
      </c>
      <c r="G87" s="15"/>
      <c r="H87" s="16"/>
      <c r="I87" s="16"/>
    </row>
    <row r="88" spans="2:16" ht="25.5">
      <c r="B88" s="75" t="s">
        <v>57</v>
      </c>
      <c r="G88" s="15"/>
      <c r="H88" s="16"/>
      <c r="I88" s="16"/>
    </row>
    <row r="89" spans="2:16">
      <c r="B89" s="11" t="s">
        <v>37</v>
      </c>
      <c r="G89" s="15"/>
      <c r="H89" s="16"/>
      <c r="I89" s="16"/>
    </row>
    <row r="90" spans="2:16">
      <c r="B90" s="11" t="s">
        <v>109</v>
      </c>
      <c r="C90" s="57"/>
      <c r="D90" s="83"/>
      <c r="E90" s="239"/>
      <c r="F90" s="242"/>
      <c r="G90" s="15"/>
      <c r="H90" s="16"/>
      <c r="I90" s="16"/>
    </row>
    <row r="94" spans="2:16" ht="12.75" hidden="1" customHeight="1"/>
  </sheetData>
  <mergeCells count="22"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  <mergeCell ref="B29:F29"/>
    <mergeCell ref="B32:F32"/>
    <mergeCell ref="B33:F33"/>
    <mergeCell ref="E44:F44"/>
    <mergeCell ref="C23:F23"/>
    <mergeCell ref="B24:D24"/>
    <mergeCell ref="B25:F25"/>
    <mergeCell ref="B26:F26"/>
    <mergeCell ref="C27:D27"/>
    <mergeCell ref="E27:F27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1"/>
  <sheetViews>
    <sheetView topLeftCell="A48" zoomScaleNormal="100" zoomScaleSheetLayoutView="100" workbookViewId="0">
      <selection activeCell="E64" sqref="E64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3" style="12" customWidth="1"/>
    <col min="6" max="6" width="12.42578125" style="12" customWidth="1"/>
    <col min="7" max="7" width="8.7109375" style="144" hidden="1" customWidth="1"/>
    <col min="8" max="8" width="8.7109375" style="13" hidden="1" customWidth="1"/>
    <col min="9" max="9" width="6.85546875" style="13" hidden="1" customWidth="1"/>
    <col min="10" max="10" width="9.140625" style="11" customWidth="1"/>
    <col min="11" max="11" width="11.7109375" style="12" hidden="1" customWidth="1"/>
    <col min="12" max="12" width="9.140625" style="11" hidden="1" customWidth="1"/>
    <col min="13" max="13" width="12.140625" style="11" hidden="1" customWidth="1"/>
    <col min="14" max="15" width="9.140625" style="11" hidden="1" customWidth="1"/>
    <col min="16" max="16" width="11.28515625" style="11" hidden="1" customWidth="1"/>
    <col min="17" max="17" width="0" style="11" hidden="1" customWidth="1"/>
    <col min="18" max="18" width="3" style="11" customWidth="1"/>
    <col min="19" max="20" width="9.140625" style="11"/>
    <col min="21" max="22" width="0" style="11" hidden="1" customWidth="1"/>
    <col min="23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135" t="s">
        <v>116</v>
      </c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148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139"/>
      <c r="D9" s="139"/>
      <c r="E9" s="139"/>
      <c r="F9" s="139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136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136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136"/>
      <c r="F15" s="34"/>
      <c r="G15" s="15"/>
      <c r="H15" s="16"/>
      <c r="I15" s="16"/>
    </row>
    <row r="16" spans="1:11" hidden="1">
      <c r="B16" s="17" t="s">
        <v>10</v>
      </c>
      <c r="C16" s="43"/>
      <c r="D16" s="137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133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133"/>
      <c r="C20" s="46"/>
      <c r="D20" s="15"/>
      <c r="E20" s="55"/>
      <c r="F20" s="27"/>
      <c r="G20" s="15"/>
      <c r="H20" s="16"/>
      <c r="I20" s="16"/>
    </row>
    <row r="21" spans="1:11">
      <c r="B21" s="133"/>
      <c r="C21" s="46"/>
      <c r="D21" s="15"/>
      <c r="E21" s="55"/>
      <c r="F21" s="27"/>
      <c r="G21" s="15"/>
      <c r="H21" s="16"/>
      <c r="I21" s="16"/>
    </row>
    <row r="22" spans="1:11" ht="148.5" customHeight="1">
      <c r="B22" s="133"/>
      <c r="C22" s="46"/>
      <c r="D22" s="35"/>
      <c r="E22" s="4"/>
      <c r="F22" s="27"/>
      <c r="G22" s="15"/>
      <c r="H22" s="16"/>
      <c r="I22" s="16"/>
    </row>
    <row r="23" spans="1:11" ht="175.5" customHeight="1" thickBot="1">
      <c r="B23" s="133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s="78" customFormat="1" ht="34.5" customHeight="1" thickBot="1">
      <c r="A27" s="76"/>
      <c r="B27" s="92" t="s">
        <v>80</v>
      </c>
      <c r="C27" s="282"/>
      <c r="D27" s="283"/>
      <c r="E27" s="284"/>
      <c r="F27" s="285"/>
      <c r="G27" s="145"/>
      <c r="H27" s="77"/>
      <c r="I27" s="77"/>
      <c r="K27" s="79"/>
    </row>
    <row r="28" spans="1:11" s="78" customFormat="1" ht="23.25">
      <c r="A28" s="76"/>
      <c r="B28" s="138" t="s">
        <v>62</v>
      </c>
      <c r="C28" s="134"/>
      <c r="D28" s="134"/>
      <c r="E28" s="134"/>
      <c r="F28" s="134"/>
      <c r="G28" s="145"/>
      <c r="H28" s="77"/>
      <c r="I28" s="77"/>
      <c r="K28" s="79"/>
    </row>
    <row r="29" spans="1:11" s="78" customFormat="1" ht="122.25" customHeight="1" thickBot="1">
      <c r="A29" s="76"/>
      <c r="B29" s="287" t="s">
        <v>145</v>
      </c>
      <c r="C29" s="288"/>
      <c r="D29" s="288"/>
      <c r="E29" s="288"/>
      <c r="F29" s="288"/>
      <c r="G29" s="145"/>
      <c r="H29" s="77"/>
      <c r="I29" s="77"/>
      <c r="K29" s="79"/>
    </row>
    <row r="30" spans="1:11" s="78" customFormat="1" ht="24" thickBot="1">
      <c r="A30" s="76"/>
      <c r="B30" s="95" t="s">
        <v>74</v>
      </c>
      <c r="C30" s="93"/>
      <c r="D30" s="93"/>
      <c r="E30" s="93"/>
      <c r="F30" s="94"/>
      <c r="G30" s="145"/>
      <c r="H30" s="77"/>
      <c r="I30" s="77"/>
      <c r="K30" s="79"/>
    </row>
    <row r="31" spans="1:11" ht="16.5" thickBot="1">
      <c r="B31" s="81" t="s">
        <v>40</v>
      </c>
      <c r="C31" s="138"/>
      <c r="D31" s="14"/>
      <c r="E31" s="14"/>
      <c r="F31" s="82"/>
      <c r="G31" s="15"/>
      <c r="H31" s="16"/>
      <c r="I31" s="16"/>
    </row>
    <row r="32" spans="1:11" ht="57.75" customHeight="1" thickBot="1">
      <c r="B32" s="289" t="s">
        <v>92</v>
      </c>
      <c r="C32" s="290"/>
      <c r="D32" s="290"/>
      <c r="E32" s="290"/>
      <c r="F32" s="291"/>
      <c r="G32" s="15"/>
      <c r="H32" s="16"/>
      <c r="I32" s="16"/>
    </row>
    <row r="33" spans="2:23" ht="56.25" customHeight="1" thickBot="1">
      <c r="B33" s="297" t="s">
        <v>58</v>
      </c>
      <c r="C33" s="298"/>
      <c r="D33" s="298"/>
      <c r="E33" s="298"/>
      <c r="F33" s="299"/>
      <c r="G33" s="15"/>
      <c r="H33" s="16"/>
      <c r="I33" s="16"/>
    </row>
    <row r="34" spans="2:23">
      <c r="B34" s="90" t="s">
        <v>45</v>
      </c>
      <c r="C34" s="56"/>
      <c r="D34" s="86" t="s">
        <v>64</v>
      </c>
      <c r="E34" s="37"/>
      <c r="F34" s="146"/>
      <c r="G34" s="15"/>
      <c r="H34" s="16"/>
      <c r="I34" s="16"/>
    </row>
    <row r="35" spans="2:23">
      <c r="B35" s="17" t="s">
        <v>46</v>
      </c>
      <c r="C35" s="57"/>
      <c r="D35" s="83"/>
      <c r="E35" s="83"/>
      <c r="F35" s="85"/>
      <c r="G35" s="15"/>
      <c r="H35" s="16"/>
      <c r="I35" s="16"/>
    </row>
    <row r="36" spans="2:23">
      <c r="B36" s="17" t="s">
        <v>47</v>
      </c>
      <c r="C36" s="57" t="s">
        <v>48</v>
      </c>
      <c r="D36" s="87">
        <v>50</v>
      </c>
      <c r="E36" s="87"/>
      <c r="F36" s="58"/>
      <c r="G36" s="15"/>
      <c r="H36" s="16"/>
      <c r="I36" s="16"/>
    </row>
    <row r="37" spans="2:23" ht="13.5" thickBot="1">
      <c r="B37" s="17" t="s">
        <v>49</v>
      </c>
      <c r="C37" s="57" t="s">
        <v>48</v>
      </c>
      <c r="D37" s="87">
        <v>100</v>
      </c>
      <c r="E37" s="87"/>
      <c r="F37" s="58"/>
      <c r="G37" s="15"/>
      <c r="H37" s="16"/>
      <c r="I37" s="16"/>
      <c r="S37" s="11">
        <f>26*56+15*30</f>
        <v>1906</v>
      </c>
      <c r="W37" s="11">
        <f>S37/70</f>
        <v>27.228571428571428</v>
      </c>
    </row>
    <row r="38" spans="2:23" ht="25.5">
      <c r="B38" s="199" t="s">
        <v>50</v>
      </c>
      <c r="C38" s="157" t="s">
        <v>25</v>
      </c>
      <c r="D38" s="195">
        <f>0.225*(D36*D37)</f>
        <v>1125</v>
      </c>
      <c r="E38" s="195"/>
      <c r="F38" s="196"/>
      <c r="G38" s="15"/>
      <c r="H38" s="16"/>
      <c r="I38" s="16"/>
    </row>
    <row r="39" spans="2:23" ht="13.5" thickBot="1">
      <c r="B39" s="200" t="s">
        <v>51</v>
      </c>
      <c r="C39" s="162" t="s">
        <v>25</v>
      </c>
      <c r="D39" s="197">
        <f>0.15*(D36*D37)</f>
        <v>750</v>
      </c>
      <c r="E39" s="197"/>
      <c r="F39" s="198"/>
      <c r="G39" s="15"/>
      <c r="H39" s="16"/>
      <c r="I39" s="16"/>
    </row>
    <row r="40" spans="2:23">
      <c r="B40" s="17" t="s">
        <v>52</v>
      </c>
      <c r="C40" s="57"/>
      <c r="D40" s="121" t="s">
        <v>122</v>
      </c>
      <c r="E40" s="83"/>
      <c r="F40" s="85"/>
      <c r="G40" s="15"/>
      <c r="H40" s="16"/>
      <c r="I40" s="16"/>
    </row>
    <row r="41" spans="2:23">
      <c r="B41" s="17" t="s">
        <v>53</v>
      </c>
      <c r="C41" s="57" t="s">
        <v>24</v>
      </c>
      <c r="D41" s="87">
        <v>9</v>
      </c>
      <c r="E41" s="84"/>
      <c r="F41" s="64"/>
      <c r="G41" s="15"/>
      <c r="H41" s="16"/>
      <c r="I41" s="16"/>
    </row>
    <row r="42" spans="2:23" ht="13.5" thickBot="1">
      <c r="B42" s="17" t="s">
        <v>54</v>
      </c>
      <c r="C42" s="57" t="s">
        <v>24</v>
      </c>
      <c r="D42" s="87">
        <v>-12</v>
      </c>
      <c r="E42" s="55"/>
      <c r="F42" s="64"/>
      <c r="G42" s="15"/>
      <c r="H42" s="16"/>
      <c r="I42" s="16"/>
    </row>
    <row r="43" spans="2:23" ht="13.5" hidden="1" thickBot="1">
      <c r="B43" s="17" t="s">
        <v>55</v>
      </c>
      <c r="C43" s="57" t="s">
        <v>26</v>
      </c>
      <c r="D43" s="83">
        <f>D39/(1060*3.5*(D41-D42))*3600</f>
        <v>34.655371582595301</v>
      </c>
      <c r="E43" s="274"/>
      <c r="F43" s="275"/>
      <c r="G43" s="15"/>
      <c r="H43" s="16"/>
      <c r="I43" s="16"/>
    </row>
    <row r="44" spans="2:23" ht="13.5" hidden="1" thickBot="1">
      <c r="B44" s="91" t="s">
        <v>56</v>
      </c>
      <c r="C44" s="88" t="s">
        <v>48</v>
      </c>
      <c r="D44" s="89">
        <v>20</v>
      </c>
      <c r="E44" s="148"/>
      <c r="F44" s="149"/>
      <c r="G44" s="15"/>
      <c r="H44" s="16"/>
      <c r="I44" s="16"/>
    </row>
    <row r="45" spans="2:23">
      <c r="B45" s="156" t="s">
        <v>123</v>
      </c>
      <c r="C45" s="157"/>
      <c r="D45" s="158">
        <f>153*1.15*4</f>
        <v>703.8</v>
      </c>
      <c r="E45" s="159"/>
      <c r="F45" s="160"/>
      <c r="G45" s="119"/>
      <c r="H45" s="11"/>
      <c r="I45" s="12"/>
      <c r="K45" s="11"/>
    </row>
    <row r="46" spans="2:23" ht="13.5" thickBot="1">
      <c r="B46" s="161" t="s">
        <v>124</v>
      </c>
      <c r="C46" s="162"/>
      <c r="D46" s="163">
        <f>153*1.35*2</f>
        <v>413.1</v>
      </c>
      <c r="E46" s="164"/>
      <c r="F46" s="165"/>
      <c r="G46" s="119"/>
      <c r="H46" s="11"/>
      <c r="I46" s="12"/>
      <c r="K46" s="11"/>
    </row>
    <row r="47" spans="2:23" ht="25.5">
      <c r="B47" s="17" t="s">
        <v>125</v>
      </c>
      <c r="C47" s="57"/>
      <c r="D47" s="83"/>
      <c r="E47" s="136"/>
      <c r="F47" s="34"/>
      <c r="G47" s="15"/>
      <c r="H47" s="16"/>
      <c r="I47" s="16"/>
    </row>
    <row r="48" spans="2:23">
      <c r="B48" s="17"/>
      <c r="C48" s="57"/>
      <c r="D48" s="83"/>
      <c r="E48" s="136"/>
      <c r="F48" s="34"/>
      <c r="G48" s="15"/>
      <c r="H48" s="16"/>
      <c r="I48" s="16"/>
    </row>
    <row r="49" spans="1:21" ht="13.5" thickBot="1">
      <c r="B49" s="91"/>
      <c r="C49" s="88"/>
      <c r="D49" s="89"/>
      <c r="E49" s="148"/>
      <c r="F49" s="149"/>
      <c r="G49" s="15"/>
      <c r="H49" s="16"/>
      <c r="I49" s="16"/>
    </row>
    <row r="50" spans="1:21" ht="13.5" thickBot="1">
      <c r="B50" s="30"/>
      <c r="C50" s="31"/>
      <c r="D50" s="32"/>
      <c r="E50" s="32"/>
      <c r="F50" s="33"/>
      <c r="G50" s="15"/>
      <c r="H50" s="16"/>
      <c r="I50" s="16"/>
    </row>
    <row r="51" spans="1:21" ht="13.5" thickBot="1">
      <c r="B51" s="71"/>
      <c r="C51" s="72"/>
      <c r="D51" s="73"/>
      <c r="E51" s="73"/>
      <c r="F51" s="74"/>
      <c r="G51" s="15"/>
      <c r="H51" s="16"/>
      <c r="I51" s="16"/>
    </row>
    <row r="52" spans="1:21" ht="140.25">
      <c r="B52" s="96" t="s">
        <v>146</v>
      </c>
      <c r="C52" s="97">
        <v>1</v>
      </c>
      <c r="D52" s="98" t="s">
        <v>5</v>
      </c>
      <c r="E52" s="99">
        <f>(3209574*1.65+848991+1271328+1156842+116248+1145600)*2.5</f>
        <v>24587015.25</v>
      </c>
      <c r="F52" s="100">
        <f t="shared" ref="F52:F55" si="0">C52*E52</f>
        <v>24587015.25</v>
      </c>
      <c r="G52" s="15"/>
      <c r="H52" s="16"/>
      <c r="I52" s="16"/>
      <c r="U52" s="11" t="s">
        <v>104</v>
      </c>
    </row>
    <row r="53" spans="1:21" ht="25.5">
      <c r="B53" s="53" t="s">
        <v>106</v>
      </c>
      <c r="C53" s="50">
        <v>1</v>
      </c>
      <c r="D53" s="51" t="s">
        <v>5</v>
      </c>
      <c r="E53" s="52">
        <f>0.9*451654*3</f>
        <v>1219465.8</v>
      </c>
      <c r="F53" s="54">
        <f t="shared" si="0"/>
        <v>1219465.8</v>
      </c>
      <c r="G53" s="15"/>
      <c r="H53" s="16"/>
      <c r="I53" s="16"/>
    </row>
    <row r="54" spans="1:21" ht="25.5">
      <c r="B54" s="53" t="s">
        <v>107</v>
      </c>
      <c r="C54" s="50">
        <v>1</v>
      </c>
      <c r="D54" s="51" t="s">
        <v>36</v>
      </c>
      <c r="E54" s="52">
        <f>2*580461*2.5</f>
        <v>2902305</v>
      </c>
      <c r="F54" s="54">
        <f t="shared" si="0"/>
        <v>2902305</v>
      </c>
      <c r="G54" s="15"/>
      <c r="H54" s="16"/>
      <c r="I54" s="16"/>
      <c r="P54" s="12">
        <f>F52+F54</f>
        <v>27489320.25</v>
      </c>
    </row>
    <row r="55" spans="1:21" ht="13.5" thickBot="1">
      <c r="B55" s="53" t="s">
        <v>108</v>
      </c>
      <c r="C55" s="50">
        <v>1</v>
      </c>
      <c r="D55" s="51" t="s">
        <v>36</v>
      </c>
      <c r="E55" s="52">
        <f>1.5*315151</f>
        <v>472726.5</v>
      </c>
      <c r="F55" s="150">
        <f t="shared" si="0"/>
        <v>472726.5</v>
      </c>
      <c r="G55" s="15"/>
      <c r="H55" s="16"/>
      <c r="I55" s="16"/>
    </row>
    <row r="56" spans="1:21" ht="13.5" thickBot="1">
      <c r="B56" s="22" t="s">
        <v>11</v>
      </c>
      <c r="C56" s="23"/>
      <c r="D56" s="24"/>
      <c r="E56" s="25"/>
      <c r="F56" s="151">
        <f>SUM(F52:F55)</f>
        <v>29181512.550000001</v>
      </c>
      <c r="G56" s="15"/>
      <c r="H56" s="16"/>
      <c r="I56" s="16"/>
    </row>
    <row r="57" spans="1:21" ht="13.5" thickBot="1">
      <c r="B57" s="20" t="s">
        <v>4</v>
      </c>
      <c r="C57" s="19"/>
      <c r="D57" s="18"/>
      <c r="E57" s="19"/>
      <c r="F57" s="21">
        <f>F56*18/118</f>
        <v>4451417.1686440678</v>
      </c>
      <c r="G57" s="15"/>
      <c r="H57" s="16"/>
      <c r="I57" s="16"/>
    </row>
    <row r="58" spans="1:21" ht="13.5" hidden="1" thickBot="1">
      <c r="B58" s="20" t="s">
        <v>38</v>
      </c>
      <c r="C58" s="19"/>
      <c r="D58" s="18">
        <v>87.2</v>
      </c>
      <c r="E58" s="19"/>
      <c r="F58" s="80">
        <f>F56/D58</f>
        <v>334650.37327981653</v>
      </c>
      <c r="G58" s="15"/>
      <c r="H58" s="16"/>
      <c r="I58" s="16"/>
    </row>
    <row r="59" spans="1:21" ht="25.5">
      <c r="B59" s="75" t="s">
        <v>57</v>
      </c>
      <c r="G59" s="15"/>
      <c r="H59" s="16"/>
      <c r="I59" s="16"/>
    </row>
    <row r="60" spans="1:21">
      <c r="B60" s="11" t="s">
        <v>37</v>
      </c>
      <c r="G60" s="15"/>
      <c r="H60" s="16"/>
      <c r="I60" s="16"/>
    </row>
    <row r="61" spans="1:21">
      <c r="B61" s="11" t="s">
        <v>109</v>
      </c>
      <c r="C61" s="57"/>
      <c r="D61" s="83"/>
      <c r="E61" s="136"/>
      <c r="F61" s="139"/>
      <c r="G61" s="15"/>
      <c r="H61" s="16"/>
      <c r="I61" s="16"/>
    </row>
    <row r="62" spans="1:21" ht="37.5" customHeight="1">
      <c r="B62" s="139" t="s">
        <v>110</v>
      </c>
      <c r="C62" s="57"/>
      <c r="D62" s="83"/>
      <c r="E62" s="136"/>
      <c r="F62" s="139"/>
      <c r="G62" s="15"/>
      <c r="H62" s="16"/>
      <c r="I62" s="16"/>
    </row>
    <row r="63" spans="1:21" ht="13.5" thickBot="1"/>
    <row r="64" spans="1:21" s="12" customFormat="1">
      <c r="A64" s="8"/>
      <c r="B64" s="166" t="s">
        <v>59</v>
      </c>
      <c r="C64" s="167">
        <v>1</v>
      </c>
      <c r="D64" s="98" t="s">
        <v>36</v>
      </c>
      <c r="E64" s="168">
        <f>(1.25*2796500/(60*30))*50*100</f>
        <v>9710069.4444444459</v>
      </c>
      <c r="F64" s="169">
        <f t="shared" ref="F64:F68" si="1">C64*E64</f>
        <v>9710069.4444444459</v>
      </c>
      <c r="G64" s="170"/>
      <c r="H64" s="171"/>
      <c r="I64" s="171"/>
      <c r="J64" s="171"/>
      <c r="K64" s="171"/>
      <c r="L64" s="171"/>
      <c r="M64" s="171"/>
      <c r="N64" s="171"/>
      <c r="O64" s="170"/>
      <c r="P64" s="170"/>
      <c r="Q64" s="170"/>
      <c r="R64" s="170"/>
    </row>
    <row r="65" spans="1:21" s="12" customFormat="1" ht="25.5">
      <c r="A65" s="8"/>
      <c r="B65" s="172" t="s">
        <v>127</v>
      </c>
      <c r="C65" s="173">
        <v>1</v>
      </c>
      <c r="D65" s="51" t="s">
        <v>36</v>
      </c>
      <c r="E65" s="174">
        <f>397415*3</f>
        <v>1192245</v>
      </c>
      <c r="F65" s="175">
        <f t="shared" si="1"/>
        <v>1192245</v>
      </c>
      <c r="G65" s="170"/>
      <c r="H65" s="171"/>
      <c r="I65" s="171"/>
      <c r="J65" s="171"/>
      <c r="K65" s="171"/>
      <c r="L65" s="171"/>
      <c r="M65" s="171"/>
      <c r="N65" s="171"/>
      <c r="O65" s="170"/>
      <c r="P65" s="170"/>
      <c r="Q65" s="170"/>
      <c r="R65" s="170"/>
    </row>
    <row r="66" spans="1:21" s="12" customFormat="1" ht="25.5">
      <c r="A66" s="8"/>
      <c r="B66" s="172" t="s">
        <v>128</v>
      </c>
      <c r="C66" s="173">
        <v>1</v>
      </c>
      <c r="D66" s="51" t="s">
        <v>21</v>
      </c>
      <c r="E66" s="174">
        <f>3*613831.5</f>
        <v>1841494.5</v>
      </c>
      <c r="F66" s="175">
        <f t="shared" si="1"/>
        <v>1841494.5</v>
      </c>
      <c r="G66" s="170"/>
      <c r="H66" s="171"/>
      <c r="I66" s="171"/>
      <c r="J66" s="171"/>
      <c r="K66" s="171"/>
      <c r="L66" s="171"/>
      <c r="M66" s="171"/>
      <c r="N66" s="171"/>
      <c r="O66" s="170"/>
      <c r="P66" s="170"/>
      <c r="Q66" s="170"/>
      <c r="R66" s="170"/>
    </row>
    <row r="67" spans="1:21" s="12" customFormat="1">
      <c r="A67" s="8"/>
      <c r="B67" s="172" t="s">
        <v>129</v>
      </c>
      <c r="C67" s="173">
        <v>1</v>
      </c>
      <c r="D67" s="51" t="s">
        <v>36</v>
      </c>
      <c r="E67" s="174">
        <f>1.4*250500*3.9</f>
        <v>1367730</v>
      </c>
      <c r="F67" s="175">
        <f t="shared" si="1"/>
        <v>1367730</v>
      </c>
      <c r="G67" s="170"/>
      <c r="H67" s="171"/>
      <c r="I67" s="171"/>
      <c r="J67" s="171"/>
      <c r="K67" s="171"/>
      <c r="L67" s="171"/>
      <c r="M67" s="171"/>
      <c r="N67" s="171"/>
      <c r="O67" s="170"/>
      <c r="P67" s="170"/>
      <c r="Q67" s="170"/>
      <c r="R67" s="170"/>
    </row>
    <row r="68" spans="1:21" s="12" customFormat="1" ht="13.5" thickBot="1">
      <c r="A68" s="8"/>
      <c r="B68" s="176" t="s">
        <v>130</v>
      </c>
      <c r="C68" s="177">
        <f>6*6</f>
        <v>36</v>
      </c>
      <c r="D68" s="103" t="s">
        <v>131</v>
      </c>
      <c r="E68" s="178">
        <f>288900*1.1/3</f>
        <v>105930</v>
      </c>
      <c r="F68" s="179">
        <f t="shared" si="1"/>
        <v>3813480</v>
      </c>
      <c r="G68" s="170"/>
      <c r="H68" s="171"/>
      <c r="I68" s="171"/>
      <c r="J68" s="171"/>
      <c r="K68" s="171"/>
      <c r="L68" s="171"/>
      <c r="M68" s="171"/>
      <c r="N68" s="171"/>
      <c r="O68" s="170"/>
      <c r="P68" s="170"/>
      <c r="Q68" s="170"/>
      <c r="R68" s="170"/>
    </row>
    <row r="69" spans="1:21" s="12" customFormat="1" ht="13.5" thickBot="1">
      <c r="A69" s="8"/>
      <c r="B69" s="180" t="s">
        <v>11</v>
      </c>
      <c r="C69" s="181"/>
      <c r="D69" s="182"/>
      <c r="E69" s="183"/>
      <c r="F69" s="184">
        <f>SUM(F60:F68)</f>
        <v>17925018.944444448</v>
      </c>
      <c r="G69" s="170"/>
      <c r="H69" s="171"/>
      <c r="I69" s="171"/>
      <c r="J69" s="171"/>
      <c r="K69" s="171"/>
      <c r="L69" s="171"/>
      <c r="M69" s="171"/>
      <c r="N69" s="171"/>
      <c r="O69" s="170"/>
      <c r="P69" s="170"/>
      <c r="Q69" s="170"/>
      <c r="R69" s="170"/>
    </row>
    <row r="70" spans="1:21" s="12" customFormat="1" ht="13.5" thickBot="1">
      <c r="A70" s="8"/>
      <c r="B70" s="185" t="s">
        <v>4</v>
      </c>
      <c r="C70" s="186"/>
      <c r="D70" s="186"/>
      <c r="E70" s="187"/>
      <c r="F70" s="188">
        <f>F69*18/118</f>
        <v>2734324.9237288139</v>
      </c>
      <c r="G70" s="170"/>
      <c r="H70" s="171"/>
      <c r="I70" s="171"/>
      <c r="J70" s="171"/>
      <c r="K70" s="171"/>
      <c r="L70" s="171"/>
      <c r="M70" s="171"/>
      <c r="N70" s="171"/>
      <c r="O70" s="170"/>
      <c r="P70" s="170"/>
      <c r="Q70" s="170"/>
      <c r="R70" s="170"/>
    </row>
    <row r="71" spans="1:21" s="12" customFormat="1" ht="13.5" hidden="1" thickBot="1">
      <c r="A71" s="8"/>
      <c r="B71" s="185" t="s">
        <v>38</v>
      </c>
      <c r="C71" s="186"/>
      <c r="D71" s="189">
        <v>72</v>
      </c>
      <c r="E71" s="187"/>
      <c r="F71" s="190">
        <f>F69/D71</f>
        <v>248958.59645061733</v>
      </c>
      <c r="G71" s="170"/>
      <c r="H71" s="171"/>
      <c r="I71" s="171"/>
      <c r="J71" s="171"/>
      <c r="K71" s="171"/>
      <c r="L71" s="171"/>
      <c r="M71" s="171"/>
      <c r="N71" s="171"/>
      <c r="O71" s="170"/>
      <c r="P71" s="170"/>
      <c r="Q71" s="170"/>
      <c r="R71" s="170"/>
    </row>
    <row r="72" spans="1:21">
      <c r="B72" s="171"/>
      <c r="C72" s="170"/>
      <c r="D72" s="191"/>
      <c r="E72" s="170"/>
      <c r="F72" s="170"/>
      <c r="G72" s="192"/>
      <c r="H72" s="193"/>
      <c r="I72" s="193"/>
      <c r="J72" s="171"/>
      <c r="K72" s="170"/>
      <c r="L72" s="171"/>
      <c r="M72" s="171"/>
      <c r="N72" s="171"/>
      <c r="O72" s="171"/>
      <c r="P72" s="171"/>
      <c r="Q72" s="171"/>
      <c r="R72" s="171"/>
    </row>
    <row r="73" spans="1:21">
      <c r="B73" s="194" t="s">
        <v>132</v>
      </c>
      <c r="C73" s="170"/>
      <c r="D73" s="191"/>
      <c r="E73" s="170"/>
      <c r="F73" s="170"/>
      <c r="G73" s="192"/>
      <c r="H73" s="193"/>
      <c r="I73" s="193"/>
      <c r="J73" s="171"/>
      <c r="K73" s="170"/>
      <c r="L73" s="171"/>
      <c r="M73" s="171"/>
      <c r="N73" s="171"/>
      <c r="O73" s="171"/>
      <c r="P73" s="171"/>
      <c r="Q73" s="171"/>
      <c r="R73" s="171"/>
    </row>
    <row r="74" spans="1:21" ht="13.5" thickBot="1">
      <c r="B74" s="171"/>
      <c r="C74" s="170"/>
      <c r="D74" s="191"/>
      <c r="E74" s="170"/>
      <c r="F74" s="170"/>
      <c r="G74" s="192"/>
      <c r="H74" s="193"/>
      <c r="I74" s="193"/>
      <c r="J74" s="171"/>
      <c r="K74" s="170"/>
      <c r="L74" s="171"/>
      <c r="M74" s="171"/>
      <c r="N74" s="171"/>
      <c r="O74" s="171"/>
      <c r="P74" s="171"/>
      <c r="Q74" s="171"/>
      <c r="R74" s="171"/>
    </row>
    <row r="75" spans="1:21" s="78" customFormat="1" ht="24" thickBot="1">
      <c r="A75" s="76"/>
      <c r="B75" s="95" t="s">
        <v>78</v>
      </c>
      <c r="C75" s="93"/>
      <c r="D75" s="93"/>
      <c r="E75" s="93"/>
      <c r="F75" s="94"/>
      <c r="G75" s="145"/>
      <c r="H75" s="77"/>
      <c r="I75" s="77"/>
      <c r="K75" s="79"/>
    </row>
    <row r="76" spans="1:21" ht="13.5" thickBot="1">
      <c r="B76" s="171"/>
      <c r="C76" s="170"/>
      <c r="D76" s="191"/>
      <c r="E76" s="170"/>
      <c r="F76" s="170"/>
      <c r="G76" s="192"/>
      <c r="H76" s="193"/>
      <c r="I76" s="193"/>
      <c r="J76" s="171"/>
      <c r="K76" s="170"/>
      <c r="L76" s="171"/>
      <c r="M76" s="171"/>
      <c r="N76" s="171"/>
      <c r="O76" s="171"/>
      <c r="P76" s="171"/>
      <c r="Q76" s="171"/>
      <c r="R76" s="171"/>
    </row>
    <row r="77" spans="1:21" ht="13.5" thickBot="1">
      <c r="B77" s="71"/>
      <c r="C77" s="72"/>
      <c r="D77" s="73"/>
      <c r="E77" s="73"/>
      <c r="F77" s="74"/>
      <c r="G77" s="15"/>
      <c r="H77" s="16"/>
      <c r="I77" s="16"/>
    </row>
    <row r="78" spans="1:21" ht="140.25">
      <c r="B78" s="96" t="s">
        <v>147</v>
      </c>
      <c r="C78" s="97">
        <v>1</v>
      </c>
      <c r="D78" s="98" t="s">
        <v>5</v>
      </c>
      <c r="E78" s="99">
        <f>(3209574*1.65+848991+1271328+1156842+116248+1145600)*2.5*0.69</f>
        <v>16965040.522499997</v>
      </c>
      <c r="F78" s="100">
        <f t="shared" ref="F78:F81" si="2">C78*E78</f>
        <v>16965040.522499997</v>
      </c>
      <c r="G78" s="15"/>
      <c r="H78" s="16"/>
      <c r="I78" s="16"/>
      <c r="U78" s="11" t="s">
        <v>104</v>
      </c>
    </row>
    <row r="79" spans="1:21" ht="25.5">
      <c r="B79" s="53" t="s">
        <v>106</v>
      </c>
      <c r="C79" s="50">
        <v>1</v>
      </c>
      <c r="D79" s="51" t="s">
        <v>5</v>
      </c>
      <c r="E79" s="52">
        <f>0.9*451654*3</f>
        <v>1219465.8</v>
      </c>
      <c r="F79" s="54">
        <f t="shared" si="2"/>
        <v>1219465.8</v>
      </c>
      <c r="G79" s="15"/>
      <c r="H79" s="16"/>
      <c r="I79" s="16"/>
    </row>
    <row r="80" spans="1:21" ht="25.5">
      <c r="B80" s="53" t="s">
        <v>107</v>
      </c>
      <c r="C80" s="50">
        <v>1</v>
      </c>
      <c r="D80" s="51" t="s">
        <v>36</v>
      </c>
      <c r="E80" s="52">
        <f>2*580461*2.5</f>
        <v>2902305</v>
      </c>
      <c r="F80" s="54">
        <f t="shared" si="2"/>
        <v>2902305</v>
      </c>
      <c r="G80" s="15"/>
      <c r="H80" s="16"/>
      <c r="I80" s="16"/>
      <c r="P80" s="12">
        <f>F78+F80</f>
        <v>19867345.522499997</v>
      </c>
    </row>
    <row r="81" spans="2:9" ht="13.5" thickBot="1">
      <c r="B81" s="53" t="s">
        <v>108</v>
      </c>
      <c r="C81" s="50">
        <v>1</v>
      </c>
      <c r="D81" s="51" t="s">
        <v>36</v>
      </c>
      <c r="E81" s="52">
        <f>1.5*315151</f>
        <v>472726.5</v>
      </c>
      <c r="F81" s="150">
        <f t="shared" si="2"/>
        <v>472726.5</v>
      </c>
      <c r="G81" s="15"/>
      <c r="H81" s="16"/>
      <c r="I81" s="16"/>
    </row>
    <row r="82" spans="2:9" ht="13.5" thickBot="1">
      <c r="B82" s="22" t="s">
        <v>11</v>
      </c>
      <c r="C82" s="23"/>
      <c r="D82" s="24"/>
      <c r="E82" s="25"/>
      <c r="F82" s="151">
        <f>SUM(F78:F81)</f>
        <v>21559537.822499998</v>
      </c>
      <c r="G82" s="15"/>
      <c r="H82" s="16"/>
      <c r="I82" s="16"/>
    </row>
    <row r="83" spans="2:9" ht="13.5" thickBot="1">
      <c r="B83" s="20" t="s">
        <v>4</v>
      </c>
      <c r="C83" s="19"/>
      <c r="D83" s="18"/>
      <c r="E83" s="19"/>
      <c r="F83" s="21">
        <f>F82*18/118</f>
        <v>3288743.057669491</v>
      </c>
      <c r="G83" s="15"/>
      <c r="H83" s="16"/>
      <c r="I83" s="16"/>
    </row>
    <row r="84" spans="2:9" ht="13.5" hidden="1" thickBot="1">
      <c r="B84" s="20" t="s">
        <v>38</v>
      </c>
      <c r="C84" s="19"/>
      <c r="D84" s="18">
        <v>87.2</v>
      </c>
      <c r="E84" s="19"/>
      <c r="F84" s="80">
        <f>F82/D84</f>
        <v>247242.40622133025</v>
      </c>
      <c r="G84" s="15"/>
      <c r="H84" s="16"/>
      <c r="I84" s="16"/>
    </row>
    <row r="85" spans="2:9" ht="25.5">
      <c r="B85" s="75" t="s">
        <v>57</v>
      </c>
      <c r="G85" s="15"/>
      <c r="H85" s="16"/>
      <c r="I85" s="16"/>
    </row>
    <row r="86" spans="2:9">
      <c r="B86" s="11" t="s">
        <v>37</v>
      </c>
      <c r="G86" s="15"/>
      <c r="H86" s="16"/>
      <c r="I86" s="16"/>
    </row>
    <row r="87" spans="2:9">
      <c r="B87" s="11" t="s">
        <v>109</v>
      </c>
      <c r="C87" s="57"/>
      <c r="D87" s="83"/>
      <c r="E87" s="136"/>
      <c r="F87" s="139"/>
      <c r="G87" s="15"/>
      <c r="H87" s="16"/>
      <c r="I87" s="16"/>
    </row>
    <row r="91" spans="2:9" ht="12.75" hidden="1" customHeight="1"/>
  </sheetData>
  <mergeCells count="22"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  <mergeCell ref="B29:F29"/>
    <mergeCell ref="B32:F32"/>
    <mergeCell ref="B33:F33"/>
    <mergeCell ref="E43:F43"/>
    <mergeCell ref="C23:F23"/>
    <mergeCell ref="B24:D24"/>
    <mergeCell ref="B25:F25"/>
    <mergeCell ref="B26:F26"/>
    <mergeCell ref="C27:D27"/>
    <mergeCell ref="E27:F27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7"/>
  <sheetViews>
    <sheetView topLeftCell="A66" zoomScaleNormal="100" zoomScaleSheetLayoutView="100" workbookViewId="0">
      <selection activeCell="E78" sqref="E78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0.7109375" style="12" customWidth="1"/>
    <col min="6" max="6" width="12.42578125" style="12" customWidth="1"/>
    <col min="7" max="7" width="8.7109375" style="144" customWidth="1"/>
    <col min="8" max="8" width="8.7109375" style="13" customWidth="1"/>
    <col min="9" max="9" width="6.85546875" style="13" hidden="1" customWidth="1"/>
    <col min="10" max="10" width="9.140625" style="11" customWidth="1"/>
    <col min="11" max="11" width="11.7109375" style="12" customWidth="1"/>
    <col min="12" max="14" width="9.140625" style="11" customWidth="1"/>
    <col min="15" max="15" width="11.28515625" style="11" hidden="1" customWidth="1"/>
    <col min="16" max="16" width="9.140625" style="11" hidden="1" customWidth="1"/>
    <col min="17" max="17" width="3" style="11" hidden="1" customWidth="1"/>
    <col min="18" max="18" width="0" style="11" hidden="1" customWidth="1"/>
    <col min="19" max="21" width="9.140625" style="11" hidden="1" customWidth="1"/>
    <col min="22" max="23" width="0" style="11" hidden="1" customWidth="1"/>
    <col min="24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217"/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167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221"/>
      <c r="D9" s="221"/>
      <c r="E9" s="221"/>
      <c r="F9" s="221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218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218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218"/>
      <c r="F15" s="34"/>
      <c r="G15" s="15"/>
      <c r="H15" s="16"/>
      <c r="I15" s="16"/>
    </row>
    <row r="16" spans="1:11" hidden="1">
      <c r="B16" s="17" t="s">
        <v>10</v>
      </c>
      <c r="C16" s="43"/>
      <c r="D16" s="219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215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215"/>
      <c r="C20" s="46"/>
      <c r="D20" s="15"/>
      <c r="E20" s="55"/>
      <c r="F20" s="27"/>
      <c r="G20" s="15"/>
      <c r="H20" s="16"/>
      <c r="I20" s="16"/>
    </row>
    <row r="21" spans="1:11">
      <c r="B21" s="215"/>
      <c r="C21" s="46"/>
      <c r="D21" s="15"/>
      <c r="E21" s="55"/>
      <c r="F21" s="27"/>
      <c r="G21" s="15"/>
      <c r="H21" s="16"/>
      <c r="I21" s="16"/>
    </row>
    <row r="22" spans="1:11" ht="148.5" customHeight="1">
      <c r="B22" s="215"/>
      <c r="C22" s="46"/>
      <c r="D22" s="35"/>
      <c r="E22" s="4"/>
      <c r="F22" s="27"/>
      <c r="G22" s="15"/>
      <c r="H22" s="16"/>
      <c r="I22" s="16"/>
    </row>
    <row r="23" spans="1:11" ht="175.5" customHeight="1">
      <c r="B23" s="215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ht="13.5" thickBot="1"/>
    <row r="28" spans="1:11" s="78" customFormat="1" ht="34.5" customHeight="1" thickBot="1">
      <c r="A28" s="76"/>
      <c r="B28" s="92" t="s">
        <v>80</v>
      </c>
      <c r="C28" s="282"/>
      <c r="D28" s="283"/>
      <c r="E28" s="284"/>
      <c r="F28" s="285"/>
      <c r="G28" s="145"/>
      <c r="H28" s="77"/>
      <c r="I28" s="77"/>
      <c r="K28" s="79"/>
    </row>
    <row r="29" spans="1:11" s="78" customFormat="1" ht="23.25">
      <c r="A29" s="76"/>
      <c r="B29" s="220" t="s">
        <v>62</v>
      </c>
      <c r="C29" s="216"/>
      <c r="D29" s="216"/>
      <c r="E29" s="216"/>
      <c r="F29" s="216"/>
      <c r="G29" s="145"/>
      <c r="H29" s="77"/>
      <c r="I29" s="77"/>
      <c r="K29" s="79"/>
    </row>
    <row r="30" spans="1:11" s="78" customFormat="1" ht="122.25" customHeight="1" thickBot="1">
      <c r="A30" s="76"/>
      <c r="B30" s="287" t="s">
        <v>168</v>
      </c>
      <c r="C30" s="288"/>
      <c r="D30" s="288"/>
      <c r="E30" s="288"/>
      <c r="F30" s="288"/>
      <c r="G30" s="145"/>
      <c r="H30" s="77"/>
      <c r="I30" s="77"/>
      <c r="K30" s="79"/>
    </row>
    <row r="31" spans="1:11" s="78" customFormat="1" ht="24" thickBot="1">
      <c r="A31" s="76"/>
      <c r="B31" s="95" t="s">
        <v>74</v>
      </c>
      <c r="C31" s="93"/>
      <c r="D31" s="93"/>
      <c r="E31" s="93"/>
      <c r="F31" s="94"/>
      <c r="G31" s="145"/>
      <c r="H31" s="77"/>
      <c r="I31" s="77"/>
      <c r="K31" s="79"/>
    </row>
    <row r="32" spans="1:11" ht="16.5" thickBot="1">
      <c r="B32" s="81" t="s">
        <v>40</v>
      </c>
      <c r="C32" s="220"/>
      <c r="D32" s="14"/>
      <c r="E32" s="14"/>
      <c r="F32" s="82"/>
      <c r="G32" s="15"/>
      <c r="H32" s="16"/>
      <c r="I32" s="16"/>
    </row>
    <row r="33" spans="2:9" ht="57.75" customHeight="1" thickBot="1">
      <c r="B33" s="289" t="s">
        <v>92</v>
      </c>
      <c r="C33" s="290"/>
      <c r="D33" s="290"/>
      <c r="E33" s="290"/>
      <c r="F33" s="291"/>
      <c r="G33" s="15"/>
      <c r="H33" s="16"/>
      <c r="I33" s="16"/>
    </row>
    <row r="34" spans="2:9" ht="56.25" hidden="1" customHeight="1">
      <c r="B34" s="292" t="s">
        <v>58</v>
      </c>
      <c r="C34" s="293"/>
      <c r="D34" s="293"/>
      <c r="E34" s="293"/>
      <c r="F34" s="294"/>
      <c r="G34" s="15"/>
      <c r="H34" s="16"/>
      <c r="I34" s="16"/>
    </row>
    <row r="35" spans="2:9">
      <c r="B35" s="90" t="s">
        <v>45</v>
      </c>
      <c r="C35" s="56"/>
      <c r="D35" s="86" t="s">
        <v>64</v>
      </c>
      <c r="E35" s="37"/>
      <c r="F35" s="146"/>
      <c r="G35" s="55"/>
      <c r="H35" s="4"/>
      <c r="I35" s="16"/>
    </row>
    <row r="36" spans="2:9">
      <c r="B36" s="17" t="s">
        <v>46</v>
      </c>
      <c r="C36" s="57"/>
      <c r="D36" s="83"/>
      <c r="E36" s="83"/>
      <c r="F36" s="85"/>
      <c r="G36" s="83"/>
      <c r="H36" s="4"/>
      <c r="I36" s="16">
        <f>7*15</f>
        <v>105</v>
      </c>
    </row>
    <row r="37" spans="2:9">
      <c r="B37" s="17" t="s">
        <v>47</v>
      </c>
      <c r="C37" s="57" t="s">
        <v>48</v>
      </c>
      <c r="D37" s="62">
        <v>6</v>
      </c>
      <c r="E37" s="87"/>
      <c r="F37" s="58"/>
      <c r="G37" s="87"/>
      <c r="H37" s="4"/>
      <c r="I37" s="16"/>
    </row>
    <row r="38" spans="2:9">
      <c r="B38" s="17" t="s">
        <v>49</v>
      </c>
      <c r="C38" s="57" t="s">
        <v>48</v>
      </c>
      <c r="D38" s="62">
        <v>5</v>
      </c>
      <c r="E38" s="87"/>
      <c r="F38" s="58"/>
      <c r="G38" s="87"/>
      <c r="H38" s="4"/>
      <c r="I38" s="16"/>
    </row>
    <row r="39" spans="2:9">
      <c r="B39" s="17" t="s">
        <v>50</v>
      </c>
      <c r="C39" s="57" t="s">
        <v>25</v>
      </c>
      <c r="D39" s="87">
        <f>0.225*(D37*D38)*1.4</f>
        <v>9.4499999999999993</v>
      </c>
      <c r="E39" s="87"/>
      <c r="F39" s="58"/>
      <c r="G39" s="87"/>
      <c r="H39" s="4"/>
      <c r="I39" s="16"/>
    </row>
    <row r="40" spans="2:9">
      <c r="B40" s="17" t="s">
        <v>51</v>
      </c>
      <c r="C40" s="57" t="s">
        <v>25</v>
      </c>
      <c r="D40" s="87">
        <f>0.15*(D37*D38)*1.4</f>
        <v>6.3</v>
      </c>
      <c r="E40" s="87"/>
      <c r="F40" s="58"/>
      <c r="G40" s="121"/>
      <c r="H40" s="4"/>
      <c r="I40" s="16"/>
    </row>
    <row r="41" spans="2:9" ht="25.5">
      <c r="B41" s="17" t="s">
        <v>52</v>
      </c>
      <c r="C41" s="57"/>
      <c r="D41" s="121" t="s">
        <v>65</v>
      </c>
      <c r="E41" s="87"/>
      <c r="F41" s="58"/>
      <c r="G41" s="87"/>
      <c r="H41" s="4"/>
      <c r="I41" s="16"/>
    </row>
    <row r="42" spans="2:9">
      <c r="B42" s="17" t="s">
        <v>93</v>
      </c>
      <c r="C42" s="57" t="s">
        <v>94</v>
      </c>
      <c r="D42" s="121">
        <v>3.2</v>
      </c>
      <c r="E42" s="87"/>
      <c r="F42" s="58"/>
      <c r="G42" s="87"/>
      <c r="H42" s="4"/>
      <c r="I42" s="16"/>
    </row>
    <row r="43" spans="2:9">
      <c r="B43" s="17" t="s">
        <v>95</v>
      </c>
      <c r="C43" s="57" t="s">
        <v>96</v>
      </c>
      <c r="D43" s="121">
        <v>1090</v>
      </c>
      <c r="E43" s="87"/>
      <c r="F43" s="58"/>
      <c r="G43" s="87"/>
      <c r="H43" s="4"/>
      <c r="I43" s="16"/>
    </row>
    <row r="44" spans="2:9">
      <c r="B44" s="17" t="s">
        <v>53</v>
      </c>
      <c r="C44" s="57" t="s">
        <v>24</v>
      </c>
      <c r="D44" s="87">
        <v>-8</v>
      </c>
      <c r="E44" s="87"/>
      <c r="F44" s="58"/>
      <c r="G44" s="87"/>
      <c r="H44" s="4"/>
      <c r="I44" s="16"/>
    </row>
    <row r="45" spans="2:9" ht="12.75" hidden="1" customHeight="1">
      <c r="B45" s="17" t="s">
        <v>54</v>
      </c>
      <c r="C45" s="57" t="s">
        <v>24</v>
      </c>
      <c r="D45" s="87">
        <v>-13</v>
      </c>
      <c r="E45" s="87"/>
      <c r="F45" s="58"/>
      <c r="G45" s="87"/>
      <c r="H45" s="4"/>
      <c r="I45" s="16"/>
    </row>
    <row r="46" spans="2:9" ht="13.5" hidden="1" customHeight="1">
      <c r="B46" s="17" t="s">
        <v>55</v>
      </c>
      <c r="C46" s="57" t="s">
        <v>26</v>
      </c>
      <c r="D46" s="83">
        <f>D39/(D43*D42*(D44-D45))*3600</f>
        <v>1.9506880733944953</v>
      </c>
      <c r="E46" s="83"/>
      <c r="F46" s="85"/>
      <c r="G46" s="83"/>
      <c r="H46" s="4"/>
      <c r="I46" s="16"/>
    </row>
    <row r="47" spans="2:9">
      <c r="B47" s="17" t="s">
        <v>56</v>
      </c>
      <c r="C47" s="57" t="s">
        <v>48</v>
      </c>
      <c r="D47" s="83">
        <v>20</v>
      </c>
      <c r="E47" s="83"/>
      <c r="F47" s="85"/>
      <c r="G47" s="83"/>
      <c r="H47" s="4"/>
      <c r="I47" s="16"/>
    </row>
    <row r="48" spans="2:9">
      <c r="B48" s="17" t="s">
        <v>97</v>
      </c>
      <c r="C48" s="57" t="s">
        <v>98</v>
      </c>
      <c r="D48" s="83">
        <f>SQRT(4*D46/(3.14*1.5*3600))*1000</f>
        <v>21.451724266957996</v>
      </c>
      <c r="E48" s="83"/>
      <c r="F48" s="85"/>
      <c r="G48" s="83"/>
      <c r="H48" s="4"/>
      <c r="I48" s="16"/>
    </row>
    <row r="49" spans="2:9">
      <c r="B49" s="17"/>
      <c r="C49" s="57"/>
      <c r="D49" s="83"/>
      <c r="E49" s="83"/>
      <c r="F49" s="85"/>
      <c r="G49" s="83"/>
      <c r="H49" s="4"/>
      <c r="I49" s="16"/>
    </row>
    <row r="50" spans="2:9">
      <c r="B50" s="17"/>
      <c r="C50" s="57"/>
      <c r="D50" s="83"/>
      <c r="E50" s="83"/>
      <c r="F50" s="85"/>
      <c r="G50" s="83"/>
      <c r="H50" s="4"/>
      <c r="I50" s="16"/>
    </row>
    <row r="51" spans="2:9">
      <c r="B51" s="147" t="s">
        <v>99</v>
      </c>
      <c r="C51" s="59"/>
      <c r="D51" s="35"/>
      <c r="E51" s="84"/>
      <c r="F51" s="64"/>
      <c r="G51" s="59"/>
      <c r="H51" s="35"/>
      <c r="I51" s="16"/>
    </row>
    <row r="52" spans="2:9">
      <c r="B52" s="66" t="s">
        <v>6</v>
      </c>
      <c r="C52" s="295" t="s">
        <v>7</v>
      </c>
      <c r="D52" s="295"/>
      <c r="E52" s="55"/>
      <c r="F52" s="64"/>
      <c r="G52" s="295"/>
      <c r="H52" s="295"/>
      <c r="I52" s="16"/>
    </row>
    <row r="53" spans="2:9">
      <c r="B53" s="38" t="s">
        <v>8</v>
      </c>
      <c r="C53" s="67">
        <v>1</v>
      </c>
      <c r="D53" s="60" t="s">
        <v>169</v>
      </c>
      <c r="E53" s="274" t="s">
        <v>163</v>
      </c>
      <c r="F53" s="275"/>
      <c r="G53" s="67"/>
      <c r="H53" s="60"/>
      <c r="I53" s="16"/>
    </row>
    <row r="54" spans="2:9">
      <c r="B54" s="38" t="s">
        <v>101</v>
      </c>
      <c r="C54" s="277">
        <f>C53*11.56</f>
        <v>11.56</v>
      </c>
      <c r="D54" s="286"/>
      <c r="E54" s="218"/>
      <c r="F54" s="34"/>
      <c r="G54" s="277"/>
      <c r="H54" s="286"/>
      <c r="I54" s="16"/>
    </row>
    <row r="55" spans="2:9">
      <c r="B55" s="17" t="s">
        <v>9</v>
      </c>
      <c r="C55" s="57"/>
      <c r="D55" s="39" t="s">
        <v>102</v>
      </c>
      <c r="E55" s="218"/>
      <c r="F55" s="34"/>
      <c r="G55" s="57"/>
      <c r="H55" s="39"/>
      <c r="I55" s="16"/>
    </row>
    <row r="56" spans="2:9">
      <c r="B56" s="17" t="s">
        <v>10</v>
      </c>
      <c r="C56" s="57"/>
      <c r="D56" s="39">
        <f>C53*7*1.1</f>
        <v>7.7000000000000011</v>
      </c>
      <c r="E56" s="218"/>
      <c r="F56" s="34"/>
      <c r="G56" s="57"/>
      <c r="H56" s="39"/>
      <c r="I56" s="16"/>
    </row>
    <row r="57" spans="2:9">
      <c r="B57" s="17" t="s">
        <v>27</v>
      </c>
      <c r="C57" s="57"/>
      <c r="D57" s="219">
        <f>(C54+D56)*1.21*1.1</f>
        <v>25.635060000000003</v>
      </c>
      <c r="E57" s="40"/>
      <c r="F57" s="34"/>
      <c r="G57" s="57"/>
      <c r="H57" s="219"/>
      <c r="I57" s="16"/>
    </row>
    <row r="58" spans="2:9">
      <c r="B58" s="68" t="s">
        <v>28</v>
      </c>
      <c r="C58" s="61" t="s">
        <v>29</v>
      </c>
      <c r="D58" s="62" t="s">
        <v>30</v>
      </c>
      <c r="E58" s="62"/>
      <c r="F58" s="122"/>
      <c r="G58" s="61"/>
      <c r="H58" s="62"/>
      <c r="I58" s="16"/>
    </row>
    <row r="59" spans="2:9">
      <c r="B59" s="65" t="s">
        <v>31</v>
      </c>
      <c r="C59" s="63">
        <v>22</v>
      </c>
      <c r="D59" s="4">
        <v>22</v>
      </c>
      <c r="E59" s="4"/>
      <c r="F59" s="64"/>
      <c r="G59" s="63"/>
      <c r="H59" s="4"/>
      <c r="I59" s="16"/>
    </row>
    <row r="60" spans="2:9">
      <c r="B60" s="65" t="s">
        <v>32</v>
      </c>
      <c r="C60" s="63"/>
      <c r="D60" s="4">
        <v>15</v>
      </c>
      <c r="E60" s="4"/>
      <c r="F60" s="64"/>
      <c r="G60" s="63"/>
      <c r="H60" s="4"/>
      <c r="I60" s="16"/>
    </row>
    <row r="61" spans="2:9">
      <c r="B61" s="65" t="s">
        <v>33</v>
      </c>
      <c r="C61" s="59"/>
      <c r="D61" s="35">
        <v>15</v>
      </c>
      <c r="E61" s="84"/>
      <c r="F61" s="64"/>
      <c r="G61" s="59"/>
      <c r="H61" s="35"/>
      <c r="I61" s="16"/>
    </row>
    <row r="62" spans="2:9" ht="13.5" thickBot="1">
      <c r="B62" s="41" t="s">
        <v>34</v>
      </c>
      <c r="C62" s="69">
        <v>28</v>
      </c>
      <c r="D62" s="70" t="s">
        <v>170</v>
      </c>
      <c r="E62" s="24"/>
      <c r="F62" s="29"/>
      <c r="G62" s="63"/>
      <c r="H62" s="35"/>
      <c r="I62" s="16"/>
    </row>
    <row r="63" spans="2:9">
      <c r="B63" s="17"/>
      <c r="C63" s="57"/>
      <c r="D63" s="83"/>
      <c r="E63" s="218"/>
      <c r="F63" s="34"/>
      <c r="G63" s="15"/>
      <c r="H63" s="16"/>
      <c r="I63" s="16"/>
    </row>
    <row r="64" spans="2:9" ht="13.5" thickBot="1">
      <c r="B64" s="91"/>
      <c r="C64" s="88"/>
      <c r="D64" s="89"/>
      <c r="E64" s="148"/>
      <c r="F64" s="149"/>
      <c r="G64" s="15"/>
      <c r="H64" s="16"/>
      <c r="I64" s="16"/>
    </row>
    <row r="65" spans="2:20" ht="13.5" thickBot="1">
      <c r="B65" s="30" t="s">
        <v>160</v>
      </c>
      <c r="C65" s="31"/>
      <c r="D65" s="32"/>
      <c r="E65" s="32"/>
      <c r="F65" s="33"/>
      <c r="G65" s="15"/>
      <c r="H65" s="16"/>
      <c r="I65" s="16"/>
    </row>
    <row r="66" spans="2:20" ht="13.5" thickBot="1">
      <c r="B66" s="71"/>
      <c r="C66" s="72"/>
      <c r="D66" s="73"/>
      <c r="E66" s="73"/>
      <c r="F66" s="74"/>
      <c r="G66" s="15"/>
      <c r="H66" s="16"/>
      <c r="I66" s="16"/>
    </row>
    <row r="67" spans="2:20" ht="102">
      <c r="B67" s="96" t="s">
        <v>171</v>
      </c>
      <c r="C67" s="97">
        <v>1</v>
      </c>
      <c r="D67" s="98" t="s">
        <v>5</v>
      </c>
      <c r="E67" s="99">
        <f>(427738-2263*0.6*59)*1.35+1750*69*1.05+777*69</f>
        <v>649698.03</v>
      </c>
      <c r="F67" s="100">
        <f t="shared" ref="F67:F68" si="0">C67*E67</f>
        <v>649698.03</v>
      </c>
      <c r="G67" s="15"/>
      <c r="H67" s="16"/>
      <c r="I67" s="16"/>
      <c r="S67" s="11">
        <f>E67*(30*15)/(28*58)</f>
        <v>180027.16348522168</v>
      </c>
      <c r="T67" s="11" t="s">
        <v>104</v>
      </c>
    </row>
    <row r="68" spans="2:20" ht="26.25" thickBot="1">
      <c r="B68" s="53" t="s">
        <v>162</v>
      </c>
      <c r="C68" s="50">
        <v>1</v>
      </c>
      <c r="D68" s="51" t="s">
        <v>36</v>
      </c>
      <c r="E68" s="52">
        <f>0.45*208194</f>
        <v>93687.3</v>
      </c>
      <c r="F68" s="54">
        <f t="shared" si="0"/>
        <v>93687.3</v>
      </c>
      <c r="G68" s="15"/>
      <c r="H68" s="16"/>
      <c r="I68" s="16"/>
      <c r="O68" s="12">
        <f>F67+F68</f>
        <v>743385.33000000007</v>
      </c>
    </row>
    <row r="69" spans="2:20" ht="13.5" thickBot="1">
      <c r="B69" s="22" t="s">
        <v>11</v>
      </c>
      <c r="C69" s="23"/>
      <c r="D69" s="24"/>
      <c r="E69" s="25"/>
      <c r="F69" s="151">
        <f>SUM(F67:F68)</f>
        <v>743385.33000000007</v>
      </c>
      <c r="G69" s="15"/>
      <c r="H69" s="16"/>
      <c r="I69" s="16"/>
    </row>
    <row r="70" spans="2:20" ht="13.5" thickBot="1">
      <c r="B70" s="20" t="s">
        <v>4</v>
      </c>
      <c r="C70" s="19"/>
      <c r="D70" s="18"/>
      <c r="E70" s="19"/>
      <c r="F70" s="21">
        <f>F69*18/118</f>
        <v>113397.76220338984</v>
      </c>
      <c r="G70" s="15"/>
      <c r="H70" s="16"/>
      <c r="I70" s="16"/>
    </row>
    <row r="71" spans="2:20" ht="13.5" hidden="1" customHeight="1">
      <c r="B71" s="20" t="s">
        <v>38</v>
      </c>
      <c r="C71" s="19"/>
      <c r="D71" s="18">
        <v>87.2</v>
      </c>
      <c r="E71" s="19"/>
      <c r="F71" s="80">
        <f>F69/D71</f>
        <v>8525.061123853211</v>
      </c>
      <c r="G71" s="15"/>
      <c r="H71" s="16"/>
      <c r="I71" s="16"/>
    </row>
    <row r="72" spans="2:20" ht="25.5">
      <c r="B72" s="75" t="s">
        <v>57</v>
      </c>
      <c r="G72" s="15"/>
      <c r="H72" s="16"/>
      <c r="I72" s="16"/>
    </row>
    <row r="73" spans="2:20">
      <c r="B73" s="11" t="s">
        <v>37</v>
      </c>
      <c r="G73" s="15"/>
      <c r="H73" s="16"/>
      <c r="I73" s="16"/>
    </row>
    <row r="74" spans="2:20">
      <c r="B74" s="11" t="s">
        <v>109</v>
      </c>
      <c r="C74" s="57"/>
      <c r="D74" s="83"/>
      <c r="E74" s="218"/>
      <c r="F74" s="221"/>
      <c r="G74" s="15"/>
      <c r="H74" s="16"/>
      <c r="I74" s="16"/>
    </row>
    <row r="75" spans="2:20" ht="37.5" customHeight="1" thickBot="1">
      <c r="B75" s="152" t="s">
        <v>114</v>
      </c>
      <c r="C75" s="57"/>
      <c r="D75" s="83"/>
      <c r="E75" s="218"/>
      <c r="F75" s="221"/>
      <c r="G75" s="15"/>
      <c r="H75" s="16"/>
      <c r="I75" s="16"/>
    </row>
    <row r="76" spans="2:20">
      <c r="B76" s="96" t="s">
        <v>59</v>
      </c>
      <c r="C76" s="97">
        <v>1</v>
      </c>
      <c r="D76" s="98" t="s">
        <v>36</v>
      </c>
      <c r="E76" s="99">
        <f>D37*D38*1.1*1172*1.15*1.2*1.4</f>
        <v>74722.031999999977</v>
      </c>
      <c r="F76" s="100">
        <f t="shared" ref="F76:F79" si="1">C76*E76</f>
        <v>74722.031999999977</v>
      </c>
      <c r="G76" s="16"/>
      <c r="H76" s="11"/>
      <c r="I76" s="12"/>
      <c r="K76" s="11"/>
    </row>
    <row r="77" spans="2:20">
      <c r="B77" s="53" t="s">
        <v>60</v>
      </c>
      <c r="C77" s="50">
        <v>1</v>
      </c>
      <c r="D77" s="51" t="s">
        <v>21</v>
      </c>
      <c r="E77" s="52">
        <f>E67*0.12</f>
        <v>77963.763600000006</v>
      </c>
      <c r="F77" s="54">
        <f t="shared" si="1"/>
        <v>77963.763600000006</v>
      </c>
      <c r="G77" s="16"/>
      <c r="H77" s="11"/>
      <c r="I77" s="12"/>
      <c r="K77" s="11"/>
    </row>
    <row r="78" spans="2:20">
      <c r="B78" s="53" t="s">
        <v>112</v>
      </c>
      <c r="C78" s="50">
        <v>1</v>
      </c>
      <c r="D78" s="51" t="s">
        <v>21</v>
      </c>
      <c r="E78" s="52">
        <v>24840</v>
      </c>
      <c r="F78" s="54">
        <f t="shared" si="1"/>
        <v>24840</v>
      </c>
      <c r="G78" s="16"/>
      <c r="H78" s="11"/>
      <c r="I78" s="12"/>
      <c r="K78" s="11"/>
    </row>
    <row r="79" spans="2:20" ht="13.5" thickBot="1">
      <c r="B79" s="101" t="s">
        <v>61</v>
      </c>
      <c r="C79" s="102">
        <v>1</v>
      </c>
      <c r="D79" s="103" t="s">
        <v>36</v>
      </c>
      <c r="E79" s="104">
        <f>E67*0.25</f>
        <v>162424.50750000001</v>
      </c>
      <c r="F79" s="105">
        <f t="shared" si="1"/>
        <v>162424.50750000001</v>
      </c>
      <c r="G79" s="16"/>
      <c r="H79" s="11"/>
      <c r="I79" s="12"/>
      <c r="K79" s="11"/>
    </row>
    <row r="80" spans="2:20" ht="13.5" thickBot="1">
      <c r="F80" s="151">
        <f>SUM(F76:F79)</f>
        <v>339950.30310000002</v>
      </c>
    </row>
    <row r="82" spans="2:20" ht="13.5" hidden="1" thickBot="1">
      <c r="B82" s="201" t="s">
        <v>111</v>
      </c>
    </row>
    <row r="83" spans="2:20" ht="25.5" hidden="1">
      <c r="B83" s="96" t="s">
        <v>105</v>
      </c>
      <c r="C83" s="97">
        <v>1</v>
      </c>
      <c r="D83" s="98" t="s">
        <v>5</v>
      </c>
      <c r="E83" s="99">
        <f>1.3*314154*0.4</f>
        <v>163360.08000000002</v>
      </c>
      <c r="F83" s="100">
        <f>C83*E83</f>
        <v>163360.08000000002</v>
      </c>
      <c r="G83" s="15"/>
      <c r="H83" s="16"/>
      <c r="I83" s="16"/>
    </row>
    <row r="84" spans="2:20" ht="25.5" hidden="1">
      <c r="B84" s="53" t="s">
        <v>106</v>
      </c>
      <c r="C84" s="50">
        <v>1</v>
      </c>
      <c r="D84" s="51" t="s">
        <v>5</v>
      </c>
      <c r="E84" s="52">
        <f>0.9*451654*0.45</f>
        <v>182919.87000000002</v>
      </c>
      <c r="F84" s="54">
        <f>C84*E84</f>
        <v>182919.87000000002</v>
      </c>
      <c r="G84" s="15"/>
      <c r="H84" s="16"/>
      <c r="I84" s="16"/>
    </row>
    <row r="85" spans="2:20" ht="13.5" hidden="1" thickBot="1">
      <c r="B85" s="101" t="s">
        <v>108</v>
      </c>
      <c r="C85" s="102">
        <v>1</v>
      </c>
      <c r="D85" s="103" t="s">
        <v>36</v>
      </c>
      <c r="E85" s="104">
        <f>0.38*315151</f>
        <v>119757.38</v>
      </c>
      <c r="F85" s="105">
        <f>C85*E85</f>
        <v>119757.38</v>
      </c>
      <c r="G85" s="15"/>
      <c r="H85" s="16"/>
      <c r="I85" s="16"/>
    </row>
    <row r="87" spans="2:20" ht="13.5" thickBot="1"/>
    <row r="88" spans="2:20" ht="13.5" thickBot="1">
      <c r="B88" s="30" t="s">
        <v>164</v>
      </c>
      <c r="C88" s="31"/>
      <c r="D88" s="32"/>
      <c r="E88" s="32"/>
      <c r="F88" s="33"/>
      <c r="G88" s="15"/>
      <c r="H88" s="16"/>
      <c r="I88" s="16"/>
    </row>
    <row r="89" spans="2:20" ht="13.5" thickBot="1">
      <c r="B89" s="71"/>
      <c r="C89" s="72"/>
      <c r="D89" s="73"/>
      <c r="E89" s="73"/>
      <c r="F89" s="74"/>
      <c r="G89" s="15"/>
      <c r="H89" s="16"/>
      <c r="I89" s="16"/>
    </row>
    <row r="90" spans="2:20" ht="102">
      <c r="B90" s="96" t="s">
        <v>171</v>
      </c>
      <c r="C90" s="97">
        <v>1</v>
      </c>
      <c r="D90" s="98" t="s">
        <v>5</v>
      </c>
      <c r="E90" s="99">
        <f>E67*0.69</f>
        <v>448291.64069999999</v>
      </c>
      <c r="F90" s="100">
        <f t="shared" ref="F90:F91" si="2">C90*E90</f>
        <v>448291.64069999999</v>
      </c>
      <c r="G90" s="15"/>
      <c r="H90" s="16"/>
      <c r="I90" s="16"/>
      <c r="S90" s="11">
        <f>E90*(30*15)/(28*58)</f>
        <v>124218.74280480295</v>
      </c>
      <c r="T90" s="11" t="s">
        <v>104</v>
      </c>
    </row>
    <row r="91" spans="2:20" ht="26.25" thickBot="1">
      <c r="B91" s="53" t="s">
        <v>135</v>
      </c>
      <c r="C91" s="50">
        <v>1</v>
      </c>
      <c r="D91" s="51" t="s">
        <v>36</v>
      </c>
      <c r="E91" s="52">
        <f>E68</f>
        <v>93687.3</v>
      </c>
      <c r="F91" s="54">
        <f t="shared" si="2"/>
        <v>93687.3</v>
      </c>
      <c r="G91" s="15"/>
      <c r="H91" s="16"/>
      <c r="I91" s="16"/>
      <c r="O91" s="12">
        <f>F90+F91</f>
        <v>541978.94070000004</v>
      </c>
    </row>
    <row r="92" spans="2:20" ht="13.5" thickBot="1">
      <c r="B92" s="22" t="s">
        <v>11</v>
      </c>
      <c r="C92" s="23"/>
      <c r="D92" s="24"/>
      <c r="E92" s="25"/>
      <c r="F92" s="151">
        <f>SUM(F90:F91)</f>
        <v>541978.94070000004</v>
      </c>
      <c r="G92" s="15"/>
      <c r="H92" s="16"/>
      <c r="I92" s="16"/>
    </row>
    <row r="93" spans="2:20" ht="13.5" thickBot="1">
      <c r="B93" s="20" t="s">
        <v>4</v>
      </c>
      <c r="C93" s="19"/>
      <c r="D93" s="18"/>
      <c r="E93" s="19"/>
      <c r="F93" s="21">
        <f>F92*18/118</f>
        <v>82674.753666101707</v>
      </c>
      <c r="G93" s="15"/>
      <c r="H93" s="16"/>
      <c r="I93" s="16"/>
    </row>
    <row r="94" spans="2:20" ht="13.5" hidden="1" customHeight="1">
      <c r="B94" s="20" t="s">
        <v>38</v>
      </c>
      <c r="C94" s="19"/>
      <c r="D94" s="18">
        <v>87.2</v>
      </c>
      <c r="E94" s="19"/>
      <c r="F94" s="80">
        <f>F92/D94</f>
        <v>6215.3548245412849</v>
      </c>
      <c r="G94" s="15"/>
      <c r="H94" s="16"/>
      <c r="I94" s="16"/>
    </row>
    <row r="95" spans="2:20" ht="25.5">
      <c r="B95" s="75" t="s">
        <v>57</v>
      </c>
      <c r="G95" s="15"/>
      <c r="H95" s="16"/>
      <c r="I95" s="16"/>
    </row>
    <row r="96" spans="2:20">
      <c r="B96" s="11" t="s">
        <v>37</v>
      </c>
      <c r="G96" s="15"/>
      <c r="H96" s="16"/>
      <c r="I96" s="16"/>
    </row>
    <row r="97" spans="2:9">
      <c r="B97" s="11" t="s">
        <v>109</v>
      </c>
      <c r="C97" s="57"/>
      <c r="D97" s="83"/>
      <c r="E97" s="218"/>
      <c r="F97" s="221"/>
      <c r="G97" s="15"/>
      <c r="H97" s="16"/>
      <c r="I97" s="16"/>
    </row>
  </sheetData>
  <mergeCells count="26"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  <mergeCell ref="C23:F23"/>
    <mergeCell ref="B24:D24"/>
    <mergeCell ref="B25:F25"/>
    <mergeCell ref="B26:F26"/>
    <mergeCell ref="C28:D28"/>
    <mergeCell ref="E28:F28"/>
    <mergeCell ref="C54:D54"/>
    <mergeCell ref="G54:H54"/>
    <mergeCell ref="B30:F30"/>
    <mergeCell ref="B33:F33"/>
    <mergeCell ref="B34:F34"/>
    <mergeCell ref="C52:D52"/>
    <mergeCell ref="G52:H52"/>
    <mergeCell ref="E53:F53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7"/>
  <sheetViews>
    <sheetView topLeftCell="A75" zoomScaleNormal="100" zoomScaleSheetLayoutView="100" workbookViewId="0">
      <selection activeCell="E78" sqref="E78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0.7109375" style="12" customWidth="1"/>
    <col min="6" max="6" width="12.42578125" style="12" customWidth="1"/>
    <col min="7" max="7" width="8.7109375" style="144" customWidth="1"/>
    <col min="8" max="8" width="8.7109375" style="13" customWidth="1"/>
    <col min="9" max="9" width="6.85546875" style="13" hidden="1" customWidth="1"/>
    <col min="10" max="10" width="9.140625" style="11" customWidth="1"/>
    <col min="11" max="11" width="11.7109375" style="12" customWidth="1"/>
    <col min="12" max="14" width="9.140625" style="11" customWidth="1"/>
    <col min="15" max="15" width="11.28515625" style="11" hidden="1" customWidth="1"/>
    <col min="16" max="16" width="9.140625" style="11" hidden="1" customWidth="1"/>
    <col min="17" max="17" width="3" style="11" hidden="1" customWidth="1"/>
    <col min="18" max="18" width="0" style="11" hidden="1" customWidth="1"/>
    <col min="19" max="21" width="9.140625" style="11" hidden="1" customWidth="1"/>
    <col min="22" max="23" width="0" style="11" hidden="1" customWidth="1"/>
    <col min="24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250"/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198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254"/>
      <c r="D9" s="254"/>
      <c r="E9" s="254"/>
      <c r="F9" s="254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251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251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251"/>
      <c r="F15" s="34"/>
      <c r="G15" s="15"/>
      <c r="H15" s="16"/>
      <c r="I15" s="16"/>
    </row>
    <row r="16" spans="1:11" hidden="1">
      <c r="B16" s="17" t="s">
        <v>10</v>
      </c>
      <c r="C16" s="43"/>
      <c r="D16" s="252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248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248"/>
      <c r="C20" s="46"/>
      <c r="D20" s="15"/>
      <c r="E20" s="55"/>
      <c r="F20" s="27"/>
      <c r="G20" s="15"/>
      <c r="H20" s="16"/>
      <c r="I20" s="16"/>
    </row>
    <row r="21" spans="1:11">
      <c r="B21" s="248"/>
      <c r="C21" s="46"/>
      <c r="D21" s="15"/>
      <c r="E21" s="55"/>
      <c r="F21" s="27"/>
      <c r="G21" s="15"/>
      <c r="H21" s="16"/>
      <c r="I21" s="16"/>
    </row>
    <row r="22" spans="1:11" ht="148.5" customHeight="1">
      <c r="B22" s="248"/>
      <c r="C22" s="46"/>
      <c r="D22" s="35"/>
      <c r="E22" s="4"/>
      <c r="F22" s="27"/>
      <c r="G22" s="15"/>
      <c r="H22" s="16"/>
      <c r="I22" s="16"/>
    </row>
    <row r="23" spans="1:11" ht="175.5" customHeight="1">
      <c r="B23" s="248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ht="13.5" thickBot="1"/>
    <row r="28" spans="1:11" s="78" customFormat="1" ht="34.5" customHeight="1" thickBot="1">
      <c r="A28" s="76"/>
      <c r="B28" s="92" t="s">
        <v>80</v>
      </c>
      <c r="C28" s="282"/>
      <c r="D28" s="283"/>
      <c r="E28" s="284"/>
      <c r="F28" s="285"/>
      <c r="G28" s="145"/>
      <c r="H28" s="77"/>
      <c r="I28" s="77"/>
      <c r="K28" s="79"/>
    </row>
    <row r="29" spans="1:11" s="78" customFormat="1" ht="23.25">
      <c r="A29" s="76"/>
      <c r="B29" s="253" t="s">
        <v>62</v>
      </c>
      <c r="C29" s="249"/>
      <c r="D29" s="249"/>
      <c r="E29" s="249"/>
      <c r="F29" s="249"/>
      <c r="G29" s="145"/>
      <c r="H29" s="77"/>
      <c r="I29" s="77"/>
      <c r="K29" s="79"/>
    </row>
    <row r="30" spans="1:11" s="78" customFormat="1" ht="122.25" customHeight="1" thickBot="1">
      <c r="A30" s="76"/>
      <c r="B30" s="287" t="s">
        <v>168</v>
      </c>
      <c r="C30" s="288"/>
      <c r="D30" s="288"/>
      <c r="E30" s="288"/>
      <c r="F30" s="288"/>
      <c r="G30" s="145"/>
      <c r="H30" s="77"/>
      <c r="I30" s="77"/>
      <c r="K30" s="79"/>
    </row>
    <row r="31" spans="1:11" s="78" customFormat="1" ht="24" thickBot="1">
      <c r="A31" s="76"/>
      <c r="B31" s="95" t="s">
        <v>74</v>
      </c>
      <c r="C31" s="93"/>
      <c r="D31" s="93"/>
      <c r="E31" s="93"/>
      <c r="F31" s="94"/>
      <c r="G31" s="145"/>
      <c r="H31" s="77"/>
      <c r="I31" s="77"/>
      <c r="K31" s="79"/>
    </row>
    <row r="32" spans="1:11" ht="16.5" thickBot="1">
      <c r="B32" s="81" t="s">
        <v>40</v>
      </c>
      <c r="C32" s="253"/>
      <c r="D32" s="14"/>
      <c r="E32" s="14"/>
      <c r="F32" s="82"/>
      <c r="G32" s="15"/>
      <c r="H32" s="16"/>
      <c r="I32" s="16"/>
    </row>
    <row r="33" spans="2:9" ht="57.75" customHeight="1" thickBot="1">
      <c r="B33" s="289" t="s">
        <v>92</v>
      </c>
      <c r="C33" s="290"/>
      <c r="D33" s="290"/>
      <c r="E33" s="290"/>
      <c r="F33" s="291"/>
      <c r="G33" s="15"/>
      <c r="H33" s="16"/>
      <c r="I33" s="16"/>
    </row>
    <row r="34" spans="2:9" ht="56.25" hidden="1" customHeight="1">
      <c r="B34" s="292" t="s">
        <v>58</v>
      </c>
      <c r="C34" s="293"/>
      <c r="D34" s="293"/>
      <c r="E34" s="293"/>
      <c r="F34" s="294"/>
      <c r="G34" s="15"/>
      <c r="H34" s="16"/>
      <c r="I34" s="16"/>
    </row>
    <row r="35" spans="2:9">
      <c r="B35" s="90" t="s">
        <v>45</v>
      </c>
      <c r="C35" s="56"/>
      <c r="D35" s="86" t="s">
        <v>64</v>
      </c>
      <c r="E35" s="37"/>
      <c r="F35" s="146"/>
      <c r="G35" s="55"/>
      <c r="H35" s="4"/>
      <c r="I35" s="16"/>
    </row>
    <row r="36" spans="2:9">
      <c r="B36" s="17" t="s">
        <v>46</v>
      </c>
      <c r="C36" s="57"/>
      <c r="D36" s="83"/>
      <c r="E36" s="83"/>
      <c r="F36" s="85"/>
      <c r="G36" s="83"/>
      <c r="H36" s="4"/>
      <c r="I36" s="16">
        <f>7*15</f>
        <v>105</v>
      </c>
    </row>
    <row r="37" spans="2:9">
      <c r="B37" s="17" t="s">
        <v>47</v>
      </c>
      <c r="C37" s="57" t="s">
        <v>48</v>
      </c>
      <c r="D37" s="62">
        <v>6</v>
      </c>
      <c r="E37" s="87"/>
      <c r="F37" s="58"/>
      <c r="G37" s="87"/>
      <c r="H37" s="4"/>
      <c r="I37" s="16"/>
    </row>
    <row r="38" spans="2:9">
      <c r="B38" s="17" t="s">
        <v>49</v>
      </c>
      <c r="C38" s="57" t="s">
        <v>48</v>
      </c>
      <c r="D38" s="62">
        <v>10</v>
      </c>
      <c r="E38" s="87"/>
      <c r="F38" s="58"/>
      <c r="G38" s="87"/>
      <c r="H38" s="4"/>
      <c r="I38" s="16"/>
    </row>
    <row r="39" spans="2:9">
      <c r="B39" s="17" t="s">
        <v>50</v>
      </c>
      <c r="C39" s="57" t="s">
        <v>25</v>
      </c>
      <c r="D39" s="87">
        <f>0.225*(D37*D38)*1.25</f>
        <v>16.875</v>
      </c>
      <c r="E39" s="87"/>
      <c r="F39" s="58"/>
      <c r="G39" s="87"/>
      <c r="H39" s="4"/>
      <c r="I39" s="16"/>
    </row>
    <row r="40" spans="2:9">
      <c r="B40" s="17" t="s">
        <v>51</v>
      </c>
      <c r="C40" s="57" t="s">
        <v>25</v>
      </c>
      <c r="D40" s="87">
        <f>0.15*(D37*D38)*1.25</f>
        <v>11.25</v>
      </c>
      <c r="E40" s="87"/>
      <c r="F40" s="58"/>
      <c r="G40" s="121"/>
      <c r="H40" s="4"/>
      <c r="I40" s="16"/>
    </row>
    <row r="41" spans="2:9" ht="25.5">
      <c r="B41" s="17" t="s">
        <v>52</v>
      </c>
      <c r="C41" s="57"/>
      <c r="D41" s="121" t="s">
        <v>65</v>
      </c>
      <c r="E41" s="87"/>
      <c r="F41" s="58"/>
      <c r="G41" s="87"/>
      <c r="H41" s="4"/>
      <c r="I41" s="16"/>
    </row>
    <row r="42" spans="2:9">
      <c r="B42" s="17" t="s">
        <v>93</v>
      </c>
      <c r="C42" s="57" t="s">
        <v>94</v>
      </c>
      <c r="D42" s="121">
        <v>3.2</v>
      </c>
      <c r="E42" s="87"/>
      <c r="F42" s="58"/>
      <c r="G42" s="87"/>
      <c r="H42" s="4"/>
      <c r="I42" s="16"/>
    </row>
    <row r="43" spans="2:9">
      <c r="B43" s="17" t="s">
        <v>95</v>
      </c>
      <c r="C43" s="57" t="s">
        <v>96</v>
      </c>
      <c r="D43" s="121">
        <v>1090</v>
      </c>
      <c r="E43" s="87"/>
      <c r="F43" s="58"/>
      <c r="G43" s="87"/>
      <c r="H43" s="4"/>
      <c r="I43" s="16"/>
    </row>
    <row r="44" spans="2:9">
      <c r="B44" s="17" t="s">
        <v>53</v>
      </c>
      <c r="C44" s="57" t="s">
        <v>24</v>
      </c>
      <c r="D44" s="87">
        <v>-8</v>
      </c>
      <c r="E44" s="87"/>
      <c r="F44" s="58"/>
      <c r="G44" s="87"/>
      <c r="H44" s="4"/>
      <c r="I44" s="16"/>
    </row>
    <row r="45" spans="2:9" ht="12.75" hidden="1" customHeight="1">
      <c r="B45" s="17" t="s">
        <v>54</v>
      </c>
      <c r="C45" s="57" t="s">
        <v>24</v>
      </c>
      <c r="D45" s="87">
        <v>-13</v>
      </c>
      <c r="E45" s="87"/>
      <c r="F45" s="58"/>
      <c r="G45" s="87"/>
      <c r="H45" s="4"/>
      <c r="I45" s="16"/>
    </row>
    <row r="46" spans="2:9" ht="13.5" hidden="1" customHeight="1">
      <c r="B46" s="17" t="s">
        <v>55</v>
      </c>
      <c r="C46" s="57" t="s">
        <v>26</v>
      </c>
      <c r="D46" s="83">
        <f>D39/(D43*D42*(D44-D45))*3600</f>
        <v>3.4833715596330279</v>
      </c>
      <c r="E46" s="83"/>
      <c r="F46" s="85"/>
      <c r="G46" s="83"/>
      <c r="H46" s="4"/>
      <c r="I46" s="16"/>
    </row>
    <row r="47" spans="2:9">
      <c r="B47" s="17" t="s">
        <v>56</v>
      </c>
      <c r="C47" s="57" t="s">
        <v>48</v>
      </c>
      <c r="D47" s="83">
        <v>20</v>
      </c>
      <c r="E47" s="83"/>
      <c r="F47" s="85"/>
      <c r="G47" s="83"/>
      <c r="H47" s="4"/>
      <c r="I47" s="16"/>
    </row>
    <row r="48" spans="2:9">
      <c r="B48" s="17" t="s">
        <v>97</v>
      </c>
      <c r="C48" s="57" t="s">
        <v>98</v>
      </c>
      <c r="D48" s="83">
        <f>SQRT(4*D46/(3.14*1.5*3600))*1000</f>
        <v>28.666072343750432</v>
      </c>
      <c r="E48" s="83"/>
      <c r="F48" s="85"/>
      <c r="G48" s="83"/>
      <c r="H48" s="4"/>
      <c r="I48" s="16"/>
    </row>
    <row r="49" spans="2:9">
      <c r="B49" s="17"/>
      <c r="C49" s="57"/>
      <c r="D49" s="83"/>
      <c r="E49" s="83"/>
      <c r="F49" s="85"/>
      <c r="G49" s="83"/>
      <c r="H49" s="4"/>
      <c r="I49" s="16"/>
    </row>
    <row r="50" spans="2:9">
      <c r="B50" s="17"/>
      <c r="C50" s="57"/>
      <c r="D50" s="83"/>
      <c r="E50" s="83"/>
      <c r="F50" s="85"/>
      <c r="G50" s="83"/>
      <c r="H50" s="4"/>
      <c r="I50" s="16"/>
    </row>
    <row r="51" spans="2:9">
      <c r="B51" s="147" t="s">
        <v>99</v>
      </c>
      <c r="C51" s="59"/>
      <c r="D51" s="35"/>
      <c r="E51" s="84"/>
      <c r="F51" s="64"/>
      <c r="G51" s="59"/>
      <c r="H51" s="35"/>
      <c r="I51" s="16"/>
    </row>
    <row r="52" spans="2:9">
      <c r="B52" s="66" t="s">
        <v>6</v>
      </c>
      <c r="C52" s="295" t="s">
        <v>7</v>
      </c>
      <c r="D52" s="295"/>
      <c r="E52" s="55"/>
      <c r="F52" s="64"/>
      <c r="G52" s="295"/>
      <c r="H52" s="295"/>
      <c r="I52" s="16"/>
    </row>
    <row r="53" spans="2:9">
      <c r="B53" s="38" t="s">
        <v>8</v>
      </c>
      <c r="C53" s="67">
        <v>1</v>
      </c>
      <c r="D53" s="60" t="s">
        <v>199</v>
      </c>
      <c r="E53" s="274" t="s">
        <v>163</v>
      </c>
      <c r="F53" s="275"/>
      <c r="G53" s="67"/>
      <c r="H53" s="60"/>
      <c r="I53" s="16"/>
    </row>
    <row r="54" spans="2:9">
      <c r="B54" s="38" t="s">
        <v>200</v>
      </c>
      <c r="C54" s="277">
        <v>17.149999999999999</v>
      </c>
      <c r="D54" s="286"/>
      <c r="E54" s="251"/>
      <c r="F54" s="34"/>
      <c r="G54" s="277"/>
      <c r="H54" s="286"/>
      <c r="I54" s="16"/>
    </row>
    <row r="55" spans="2:9">
      <c r="B55" s="17" t="s">
        <v>9</v>
      </c>
      <c r="C55" s="57"/>
      <c r="D55" s="39" t="s">
        <v>102</v>
      </c>
      <c r="E55" s="251"/>
      <c r="F55" s="34"/>
      <c r="G55" s="57"/>
      <c r="H55" s="39"/>
      <c r="I55" s="16"/>
    </row>
    <row r="56" spans="2:9">
      <c r="B56" s="17" t="s">
        <v>10</v>
      </c>
      <c r="C56" s="57"/>
      <c r="D56" s="39">
        <v>9</v>
      </c>
      <c r="E56" s="251"/>
      <c r="F56" s="34"/>
      <c r="G56" s="57"/>
      <c r="H56" s="39"/>
      <c r="I56" s="16"/>
    </row>
    <row r="57" spans="2:9">
      <c r="B57" s="17" t="s">
        <v>27</v>
      </c>
      <c r="C57" s="57"/>
      <c r="D57" s="252">
        <f>(C54+D56)*1.21*1.1</f>
        <v>34.80565</v>
      </c>
      <c r="E57" s="40"/>
      <c r="F57" s="34"/>
      <c r="G57" s="57"/>
      <c r="H57" s="252"/>
      <c r="I57" s="16"/>
    </row>
    <row r="58" spans="2:9">
      <c r="B58" s="68" t="s">
        <v>28</v>
      </c>
      <c r="C58" s="61" t="s">
        <v>29</v>
      </c>
      <c r="D58" s="62" t="s">
        <v>30</v>
      </c>
      <c r="E58" s="62"/>
      <c r="F58" s="122"/>
      <c r="G58" s="61"/>
      <c r="H58" s="62"/>
      <c r="I58" s="16"/>
    </row>
    <row r="59" spans="2:9">
      <c r="B59" s="65" t="s">
        <v>31</v>
      </c>
      <c r="C59" s="63">
        <v>22</v>
      </c>
      <c r="D59" s="4">
        <v>22</v>
      </c>
      <c r="E59" s="4"/>
      <c r="F59" s="64"/>
      <c r="G59" s="63"/>
      <c r="H59" s="4"/>
      <c r="I59" s="16"/>
    </row>
    <row r="60" spans="2:9">
      <c r="B60" s="65" t="s">
        <v>32</v>
      </c>
      <c r="C60" s="63"/>
      <c r="D60" s="4">
        <v>15</v>
      </c>
      <c r="E60" s="4"/>
      <c r="F60" s="64"/>
      <c r="G60" s="63"/>
      <c r="H60" s="4"/>
      <c r="I60" s="16"/>
    </row>
    <row r="61" spans="2:9">
      <c r="B61" s="65" t="s">
        <v>33</v>
      </c>
      <c r="C61" s="59"/>
      <c r="D61" s="35">
        <v>15</v>
      </c>
      <c r="E61" s="84"/>
      <c r="F61" s="64"/>
      <c r="G61" s="59"/>
      <c r="H61" s="35"/>
      <c r="I61" s="16"/>
    </row>
    <row r="62" spans="2:9" ht="13.5" thickBot="1">
      <c r="B62" s="41" t="s">
        <v>34</v>
      </c>
      <c r="C62" s="69">
        <v>35</v>
      </c>
      <c r="D62" s="70" t="s">
        <v>201</v>
      </c>
      <c r="E62" s="24"/>
      <c r="F62" s="29"/>
      <c r="G62" s="63"/>
      <c r="H62" s="35"/>
      <c r="I62" s="16"/>
    </row>
    <row r="63" spans="2:9">
      <c r="B63" s="17"/>
      <c r="C63" s="57"/>
      <c r="D63" s="83"/>
      <c r="E63" s="251"/>
      <c r="F63" s="34"/>
      <c r="G63" s="15"/>
      <c r="H63" s="16"/>
      <c r="I63" s="16"/>
    </row>
    <row r="64" spans="2:9" ht="13.5" thickBot="1">
      <c r="B64" s="91"/>
      <c r="C64" s="88"/>
      <c r="D64" s="89"/>
      <c r="E64" s="148"/>
      <c r="F64" s="149"/>
      <c r="G64" s="15"/>
      <c r="H64" s="16"/>
      <c r="I64" s="16"/>
    </row>
    <row r="65" spans="2:20" ht="13.5" thickBot="1">
      <c r="B65" s="30" t="s">
        <v>160</v>
      </c>
      <c r="C65" s="31"/>
      <c r="D65" s="32"/>
      <c r="E65" s="32"/>
      <c r="F65" s="33"/>
      <c r="G65" s="15"/>
      <c r="H65" s="16"/>
      <c r="I65" s="16"/>
    </row>
    <row r="66" spans="2:20" ht="13.5" thickBot="1">
      <c r="B66" s="71"/>
      <c r="C66" s="72"/>
      <c r="D66" s="73"/>
      <c r="E66" s="73"/>
      <c r="F66" s="74"/>
      <c r="G66" s="15"/>
      <c r="H66" s="16"/>
      <c r="I66" s="16"/>
    </row>
    <row r="67" spans="2:20" ht="102">
      <c r="B67" s="96" t="s">
        <v>205</v>
      </c>
      <c r="C67" s="97">
        <v>1</v>
      </c>
      <c r="D67" s="98" t="s">
        <v>5</v>
      </c>
      <c r="E67" s="99">
        <f>(533746-2263*0.6*59)*1.29+1950*69*1.05+777*69</f>
        <v>780080.68200000003</v>
      </c>
      <c r="F67" s="100">
        <f t="shared" ref="F67:F68" si="0">C67*E67</f>
        <v>780080.68200000003</v>
      </c>
      <c r="G67" s="15"/>
      <c r="H67" s="16"/>
      <c r="I67" s="16"/>
      <c r="S67" s="11">
        <f>E67*(30*15)/(28*58)</f>
        <v>216155.36139162563</v>
      </c>
      <c r="T67" s="11" t="s">
        <v>104</v>
      </c>
    </row>
    <row r="68" spans="2:20" ht="13.5" thickBot="1">
      <c r="B68" s="53" t="s">
        <v>206</v>
      </c>
      <c r="C68" s="50">
        <v>1</v>
      </c>
      <c r="D68" s="51" t="s">
        <v>36</v>
      </c>
      <c r="E68" s="52">
        <f>0.52*208194</f>
        <v>108260.88</v>
      </c>
      <c r="F68" s="54">
        <f t="shared" si="0"/>
        <v>108260.88</v>
      </c>
      <c r="G68" s="15"/>
      <c r="H68" s="16"/>
      <c r="I68" s="16"/>
      <c r="O68" s="12">
        <f>F67+F68</f>
        <v>888341.56200000003</v>
      </c>
    </row>
    <row r="69" spans="2:20" ht="13.5" thickBot="1">
      <c r="B69" s="22" t="s">
        <v>11</v>
      </c>
      <c r="C69" s="23"/>
      <c r="D69" s="24"/>
      <c r="E69" s="25"/>
      <c r="F69" s="151">
        <f>SUM(F67:F68)</f>
        <v>888341.56200000003</v>
      </c>
      <c r="G69" s="15"/>
      <c r="H69" s="16"/>
      <c r="I69" s="16"/>
    </row>
    <row r="70" spans="2:20" ht="13.5" thickBot="1">
      <c r="B70" s="20" t="s">
        <v>4</v>
      </c>
      <c r="C70" s="19"/>
      <c r="D70" s="18"/>
      <c r="E70" s="19"/>
      <c r="F70" s="21">
        <f>F69*18/118</f>
        <v>135509.72979661016</v>
      </c>
      <c r="G70" s="15"/>
      <c r="H70" s="16"/>
      <c r="I70" s="16"/>
    </row>
    <row r="71" spans="2:20" ht="13.5" hidden="1" customHeight="1">
      <c r="B71" s="20" t="s">
        <v>38</v>
      </c>
      <c r="C71" s="19"/>
      <c r="D71" s="18">
        <v>87.2</v>
      </c>
      <c r="E71" s="19"/>
      <c r="F71" s="80">
        <f>F69/D71</f>
        <v>10187.403233944955</v>
      </c>
      <c r="G71" s="15"/>
      <c r="H71" s="16"/>
      <c r="I71" s="16"/>
    </row>
    <row r="72" spans="2:20" ht="25.5">
      <c r="B72" s="75" t="s">
        <v>57</v>
      </c>
      <c r="G72" s="15"/>
      <c r="H72" s="16"/>
      <c r="I72" s="16"/>
    </row>
    <row r="73" spans="2:20">
      <c r="B73" s="11" t="s">
        <v>37</v>
      </c>
      <c r="G73" s="15"/>
      <c r="H73" s="16"/>
      <c r="I73" s="16"/>
    </row>
    <row r="74" spans="2:20">
      <c r="B74" s="11" t="s">
        <v>109</v>
      </c>
      <c r="C74" s="57"/>
      <c r="D74" s="83"/>
      <c r="E74" s="251"/>
      <c r="F74" s="254"/>
      <c r="G74" s="15"/>
      <c r="H74" s="16"/>
      <c r="I74" s="16"/>
    </row>
    <row r="75" spans="2:20" ht="37.5" customHeight="1" thickBot="1">
      <c r="B75" s="152" t="s">
        <v>114</v>
      </c>
      <c r="C75" s="57"/>
      <c r="D75" s="83"/>
      <c r="E75" s="251"/>
      <c r="F75" s="254"/>
      <c r="G75" s="15"/>
      <c r="H75" s="16"/>
      <c r="I75" s="16"/>
    </row>
    <row r="76" spans="2:20">
      <c r="B76" s="96" t="s">
        <v>59</v>
      </c>
      <c r="C76" s="97">
        <v>1</v>
      </c>
      <c r="D76" s="98" t="s">
        <v>36</v>
      </c>
      <c r="E76" s="99">
        <f>D37*D38*1.1*1172*1.15*1.2*1.4</f>
        <v>149444.06399999995</v>
      </c>
      <c r="F76" s="100">
        <f t="shared" ref="F76:F79" si="1">C76*E76</f>
        <v>149444.06399999995</v>
      </c>
      <c r="G76" s="16"/>
      <c r="H76" s="11"/>
      <c r="I76" s="12"/>
      <c r="K76" s="11"/>
    </row>
    <row r="77" spans="2:20">
      <c r="B77" s="53" t="s">
        <v>60</v>
      </c>
      <c r="C77" s="50">
        <v>1</v>
      </c>
      <c r="D77" s="51" t="s">
        <v>21</v>
      </c>
      <c r="E77" s="52">
        <f>E67*0.12</f>
        <v>93609.681840000005</v>
      </c>
      <c r="F77" s="54">
        <f t="shared" si="1"/>
        <v>93609.681840000005</v>
      </c>
      <c r="G77" s="16"/>
      <c r="H77" s="11"/>
      <c r="I77" s="12"/>
      <c r="K77" s="11"/>
    </row>
    <row r="78" spans="2:20">
      <c r="B78" s="53" t="s">
        <v>112</v>
      </c>
      <c r="C78" s="50">
        <v>1</v>
      </c>
      <c r="D78" s="51" t="s">
        <v>21</v>
      </c>
      <c r="E78" s="52">
        <v>24840</v>
      </c>
      <c r="F78" s="54">
        <f t="shared" si="1"/>
        <v>24840</v>
      </c>
      <c r="G78" s="16"/>
      <c r="H78" s="11"/>
      <c r="I78" s="12"/>
      <c r="K78" s="11"/>
    </row>
    <row r="79" spans="2:20" ht="13.5" thickBot="1">
      <c r="B79" s="101" t="s">
        <v>61</v>
      </c>
      <c r="C79" s="102">
        <v>1</v>
      </c>
      <c r="D79" s="103" t="s">
        <v>36</v>
      </c>
      <c r="E79" s="104">
        <f>E67*0.26</f>
        <v>202820.97732000001</v>
      </c>
      <c r="F79" s="105">
        <f t="shared" si="1"/>
        <v>202820.97732000001</v>
      </c>
      <c r="G79" s="16"/>
      <c r="H79" s="11"/>
      <c r="I79" s="12"/>
      <c r="K79" s="11"/>
    </row>
    <row r="80" spans="2:20" ht="13.5" thickBot="1">
      <c r="F80" s="151">
        <f>SUM(F76:F79)</f>
        <v>470714.72315999999</v>
      </c>
    </row>
    <row r="82" spans="2:20" hidden="1">
      <c r="B82" s="201" t="s">
        <v>111</v>
      </c>
    </row>
    <row r="83" spans="2:20" ht="25.5" hidden="1">
      <c r="B83" s="96" t="s">
        <v>105</v>
      </c>
      <c r="C83" s="97">
        <v>1</v>
      </c>
      <c r="D83" s="98" t="s">
        <v>5</v>
      </c>
      <c r="E83" s="99">
        <f>1.3*314154*0.4</f>
        <v>163360.08000000002</v>
      </c>
      <c r="F83" s="100">
        <f>C83*E83</f>
        <v>163360.08000000002</v>
      </c>
      <c r="G83" s="15"/>
      <c r="H83" s="16"/>
      <c r="I83" s="16"/>
    </row>
    <row r="84" spans="2:20" ht="25.5" hidden="1">
      <c r="B84" s="53" t="s">
        <v>106</v>
      </c>
      <c r="C84" s="50">
        <v>1</v>
      </c>
      <c r="D84" s="51" t="s">
        <v>5</v>
      </c>
      <c r="E84" s="52">
        <f>0.9*451654*0.45</f>
        <v>182919.87000000002</v>
      </c>
      <c r="F84" s="54">
        <f>C84*E84</f>
        <v>182919.87000000002</v>
      </c>
      <c r="G84" s="15"/>
      <c r="H84" s="16"/>
      <c r="I84" s="16"/>
    </row>
    <row r="85" spans="2:20" ht="13.5" hidden="1" thickBot="1">
      <c r="B85" s="101" t="s">
        <v>108</v>
      </c>
      <c r="C85" s="102">
        <v>1</v>
      </c>
      <c r="D85" s="103" t="s">
        <v>36</v>
      </c>
      <c r="E85" s="104">
        <f>0.38*315151</f>
        <v>119757.38</v>
      </c>
      <c r="F85" s="105">
        <f>C85*E85</f>
        <v>119757.38</v>
      </c>
      <c r="G85" s="15"/>
      <c r="H85" s="16"/>
      <c r="I85" s="16"/>
    </row>
    <row r="87" spans="2:20" ht="13.5" thickBot="1"/>
    <row r="88" spans="2:20" ht="13.5" thickBot="1">
      <c r="B88" s="30" t="s">
        <v>164</v>
      </c>
      <c r="C88" s="31"/>
      <c r="D88" s="32"/>
      <c r="E88" s="32"/>
      <c r="F88" s="33"/>
      <c r="G88" s="15"/>
      <c r="H88" s="16"/>
      <c r="I88" s="16"/>
    </row>
    <row r="89" spans="2:20" ht="13.5" thickBot="1">
      <c r="B89" s="71"/>
      <c r="C89" s="72"/>
      <c r="D89" s="73"/>
      <c r="E89" s="73"/>
      <c r="F89" s="74"/>
      <c r="G89" s="15"/>
      <c r="H89" s="16"/>
      <c r="I89" s="16"/>
    </row>
    <row r="90" spans="2:20" ht="102">
      <c r="B90" s="96" t="s">
        <v>202</v>
      </c>
      <c r="C90" s="97">
        <v>1</v>
      </c>
      <c r="D90" s="98" t="s">
        <v>5</v>
      </c>
      <c r="E90" s="99">
        <f>E67*0.645</f>
        <v>503152.03989000001</v>
      </c>
      <c r="F90" s="100">
        <f t="shared" ref="F90:F91" si="2">C90*E90</f>
        <v>503152.03989000001</v>
      </c>
      <c r="G90" s="15"/>
      <c r="H90" s="16"/>
      <c r="I90" s="16"/>
      <c r="S90" s="11">
        <f>E90*(30*15)/(28*58)</f>
        <v>139420.20809759852</v>
      </c>
      <c r="T90" s="11" t="s">
        <v>104</v>
      </c>
    </row>
    <row r="91" spans="2:20" ht="13.5" thickBot="1">
      <c r="B91" s="53" t="s">
        <v>206</v>
      </c>
      <c r="C91" s="50">
        <v>1</v>
      </c>
      <c r="D91" s="51" t="s">
        <v>36</v>
      </c>
      <c r="E91" s="52">
        <f>E68</f>
        <v>108260.88</v>
      </c>
      <c r="F91" s="54">
        <f t="shared" si="2"/>
        <v>108260.88</v>
      </c>
      <c r="G91" s="15"/>
      <c r="H91" s="16"/>
      <c r="I91" s="16"/>
      <c r="O91" s="12">
        <f>F90+F91</f>
        <v>611412.91989000002</v>
      </c>
    </row>
    <row r="92" spans="2:20" ht="13.5" thickBot="1">
      <c r="B92" s="22" t="s">
        <v>11</v>
      </c>
      <c r="C92" s="23"/>
      <c r="D92" s="24"/>
      <c r="E92" s="25"/>
      <c r="F92" s="151">
        <f>SUM(F90:F91)</f>
        <v>611412.91989000002</v>
      </c>
      <c r="G92" s="15"/>
      <c r="H92" s="16"/>
      <c r="I92" s="16"/>
    </row>
    <row r="93" spans="2:20" ht="13.5" thickBot="1">
      <c r="B93" s="20" t="s">
        <v>4</v>
      </c>
      <c r="C93" s="19"/>
      <c r="D93" s="18"/>
      <c r="E93" s="19"/>
      <c r="F93" s="21">
        <f>F92*18/118</f>
        <v>93266.377610338983</v>
      </c>
      <c r="G93" s="15"/>
      <c r="H93" s="16"/>
      <c r="I93" s="16"/>
    </row>
    <row r="94" spans="2:20" ht="13.5" hidden="1" customHeight="1">
      <c r="B94" s="20" t="s">
        <v>38</v>
      </c>
      <c r="C94" s="19"/>
      <c r="D94" s="18">
        <v>87.2</v>
      </c>
      <c r="E94" s="19"/>
      <c r="F94" s="80">
        <f>F92/D94</f>
        <v>7011.6160537844034</v>
      </c>
      <c r="G94" s="15"/>
      <c r="H94" s="16"/>
      <c r="I94" s="16"/>
    </row>
    <row r="95" spans="2:20" ht="25.5">
      <c r="B95" s="75" t="s">
        <v>57</v>
      </c>
      <c r="G95" s="15"/>
      <c r="H95" s="16"/>
      <c r="I95" s="16"/>
    </row>
    <row r="96" spans="2:20">
      <c r="B96" s="11" t="s">
        <v>203</v>
      </c>
      <c r="G96" s="15"/>
      <c r="H96" s="16"/>
      <c r="I96" s="16"/>
    </row>
    <row r="97" spans="2:9">
      <c r="B97" s="11" t="s">
        <v>204</v>
      </c>
      <c r="C97" s="57"/>
      <c r="D97" s="83"/>
      <c r="E97" s="251"/>
      <c r="F97" s="254"/>
      <c r="G97" s="15"/>
      <c r="H97" s="16"/>
      <c r="I97" s="16"/>
    </row>
  </sheetData>
  <mergeCells count="26"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  <mergeCell ref="C23:F23"/>
    <mergeCell ref="B24:D24"/>
    <mergeCell ref="B25:F25"/>
    <mergeCell ref="B26:F26"/>
    <mergeCell ref="C28:D28"/>
    <mergeCell ref="E28:F28"/>
    <mergeCell ref="C54:D54"/>
    <mergeCell ref="G54:H54"/>
    <mergeCell ref="B30:F30"/>
    <mergeCell ref="B33:F33"/>
    <mergeCell ref="B34:F34"/>
    <mergeCell ref="C52:D52"/>
    <mergeCell ref="G52:H52"/>
    <mergeCell ref="E53:F53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7"/>
  <sheetViews>
    <sheetView topLeftCell="A36" zoomScaleNormal="100" zoomScaleSheetLayoutView="100" workbookViewId="0">
      <selection activeCell="E47" sqref="E47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0.7109375" style="12" customWidth="1"/>
    <col min="6" max="6" width="12.42578125" style="12" customWidth="1"/>
    <col min="7" max="7" width="8.7109375" style="144" customWidth="1"/>
    <col min="8" max="8" width="8.7109375" style="13" customWidth="1"/>
    <col min="9" max="9" width="6.85546875" style="13" customWidth="1"/>
    <col min="10" max="10" width="9.140625" style="11" customWidth="1"/>
    <col min="11" max="11" width="11.7109375" style="12" customWidth="1"/>
    <col min="12" max="14" width="9.140625" style="11" customWidth="1"/>
    <col min="15" max="15" width="11.28515625" style="11" hidden="1" customWidth="1"/>
    <col min="16" max="16" width="9.140625" style="11" hidden="1" customWidth="1"/>
    <col min="17" max="17" width="3" style="11" hidden="1" customWidth="1"/>
    <col min="18" max="18" width="0" style="11" hidden="1" customWidth="1"/>
    <col min="19" max="21" width="9.140625" style="11" hidden="1" customWidth="1"/>
    <col min="22" max="23" width="0" style="11" hidden="1" customWidth="1"/>
    <col min="24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208"/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158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203"/>
      <c r="D9" s="203"/>
      <c r="E9" s="203"/>
      <c r="F9" s="203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204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204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204"/>
      <c r="F15" s="34"/>
      <c r="G15" s="15"/>
      <c r="H15" s="16"/>
      <c r="I15" s="16"/>
    </row>
    <row r="16" spans="1:11" hidden="1">
      <c r="B16" s="17" t="s">
        <v>10</v>
      </c>
      <c r="C16" s="43"/>
      <c r="D16" s="202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207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207"/>
      <c r="C20" s="46"/>
      <c r="D20" s="15"/>
      <c r="E20" s="55"/>
      <c r="F20" s="27"/>
      <c r="G20" s="15"/>
      <c r="H20" s="16"/>
      <c r="I20" s="16"/>
    </row>
    <row r="21" spans="1:11">
      <c r="B21" s="207"/>
      <c r="C21" s="46"/>
      <c r="D21" s="15"/>
      <c r="E21" s="55"/>
      <c r="F21" s="27"/>
      <c r="G21" s="15"/>
      <c r="H21" s="16"/>
      <c r="I21" s="16"/>
    </row>
    <row r="22" spans="1:11" ht="148.5" customHeight="1">
      <c r="B22" s="207"/>
      <c r="C22" s="46"/>
      <c r="D22" s="35"/>
      <c r="E22" s="4"/>
      <c r="F22" s="27"/>
      <c r="G22" s="15"/>
      <c r="H22" s="16"/>
      <c r="I22" s="16"/>
    </row>
    <row r="23" spans="1:11" ht="175.5" customHeight="1">
      <c r="B23" s="207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ht="13.5" thickBot="1"/>
    <row r="28" spans="1:11" s="78" customFormat="1" ht="34.5" customHeight="1" thickBot="1">
      <c r="A28" s="76"/>
      <c r="B28" s="92" t="s">
        <v>80</v>
      </c>
      <c r="C28" s="282"/>
      <c r="D28" s="283"/>
      <c r="E28" s="284"/>
      <c r="F28" s="285"/>
      <c r="G28" s="145"/>
      <c r="H28" s="77"/>
      <c r="I28" s="77"/>
      <c r="K28" s="79"/>
    </row>
    <row r="29" spans="1:11" s="78" customFormat="1" ht="23.25">
      <c r="A29" s="76"/>
      <c r="B29" s="205" t="s">
        <v>62</v>
      </c>
      <c r="C29" s="206"/>
      <c r="D29" s="206"/>
      <c r="E29" s="206"/>
      <c r="F29" s="206"/>
      <c r="G29" s="145"/>
      <c r="H29" s="77"/>
      <c r="I29" s="77"/>
      <c r="K29" s="79"/>
    </row>
    <row r="30" spans="1:11" s="78" customFormat="1" ht="122.25" customHeight="1" thickBot="1">
      <c r="A30" s="76"/>
      <c r="B30" s="287" t="s">
        <v>166</v>
      </c>
      <c r="C30" s="288"/>
      <c r="D30" s="288"/>
      <c r="E30" s="288"/>
      <c r="F30" s="288"/>
      <c r="G30" s="145"/>
      <c r="H30" s="77"/>
      <c r="I30" s="77"/>
      <c r="K30" s="79"/>
    </row>
    <row r="31" spans="1:11" s="78" customFormat="1" ht="24" thickBot="1">
      <c r="A31" s="76"/>
      <c r="B31" s="95" t="s">
        <v>74</v>
      </c>
      <c r="C31" s="93"/>
      <c r="D31" s="93"/>
      <c r="E31" s="93"/>
      <c r="F31" s="94"/>
      <c r="G31" s="145"/>
      <c r="H31" s="77"/>
      <c r="I31" s="77"/>
      <c r="K31" s="79"/>
    </row>
    <row r="32" spans="1:11" ht="16.5" thickBot="1">
      <c r="B32" s="81" t="s">
        <v>40</v>
      </c>
      <c r="C32" s="205"/>
      <c r="D32" s="14"/>
      <c r="E32" s="14"/>
      <c r="F32" s="82"/>
      <c r="G32" s="15"/>
      <c r="H32" s="16"/>
      <c r="I32" s="16"/>
    </row>
    <row r="33" spans="2:9" ht="57.75" customHeight="1" thickBot="1">
      <c r="B33" s="289" t="s">
        <v>92</v>
      </c>
      <c r="C33" s="290"/>
      <c r="D33" s="290"/>
      <c r="E33" s="290"/>
      <c r="F33" s="291"/>
      <c r="G33" s="15"/>
      <c r="H33" s="16"/>
      <c r="I33" s="16"/>
    </row>
    <row r="34" spans="2:9" ht="56.25" hidden="1" customHeight="1">
      <c r="B34" s="292" t="s">
        <v>58</v>
      </c>
      <c r="C34" s="293"/>
      <c r="D34" s="293"/>
      <c r="E34" s="293"/>
      <c r="F34" s="294"/>
      <c r="G34" s="15"/>
      <c r="H34" s="16"/>
      <c r="I34" s="16"/>
    </row>
    <row r="35" spans="2:9">
      <c r="B35" s="90" t="s">
        <v>45</v>
      </c>
      <c r="C35" s="56"/>
      <c r="D35" s="86" t="s">
        <v>64</v>
      </c>
      <c r="E35" s="37"/>
      <c r="F35" s="146"/>
      <c r="G35" s="55"/>
      <c r="H35" s="4"/>
      <c r="I35" s="16"/>
    </row>
    <row r="36" spans="2:9">
      <c r="B36" s="17" t="s">
        <v>46</v>
      </c>
      <c r="C36" s="57"/>
      <c r="D36" s="83"/>
      <c r="E36" s="83"/>
      <c r="F36" s="85"/>
      <c r="G36" s="83"/>
      <c r="H36" s="4"/>
      <c r="I36" s="16"/>
    </row>
    <row r="37" spans="2:9">
      <c r="B37" s="17" t="s">
        <v>47</v>
      </c>
      <c r="C37" s="57" t="s">
        <v>48</v>
      </c>
      <c r="D37" s="62">
        <v>24</v>
      </c>
      <c r="E37" s="87"/>
      <c r="F37" s="58">
        <f>D37*D38</f>
        <v>288</v>
      </c>
      <c r="G37" s="87"/>
      <c r="H37" s="4"/>
      <c r="I37" s="16"/>
    </row>
    <row r="38" spans="2:9">
      <c r="B38" s="17" t="s">
        <v>49</v>
      </c>
      <c r="C38" s="57" t="s">
        <v>48</v>
      </c>
      <c r="D38" s="62">
        <v>12</v>
      </c>
      <c r="E38" s="87"/>
      <c r="F38" s="58"/>
      <c r="G38" s="87"/>
      <c r="H38" s="4"/>
      <c r="I38" s="16"/>
    </row>
    <row r="39" spans="2:9">
      <c r="B39" s="17" t="s">
        <v>50</v>
      </c>
      <c r="C39" s="57" t="s">
        <v>25</v>
      </c>
      <c r="D39" s="87">
        <f>0.225*(D37*D38)</f>
        <v>64.8</v>
      </c>
      <c r="E39" s="87"/>
      <c r="F39" s="58"/>
      <c r="G39" s="87"/>
      <c r="H39" s="4"/>
      <c r="I39" s="16"/>
    </row>
    <row r="40" spans="2:9">
      <c r="B40" s="17" t="s">
        <v>51</v>
      </c>
      <c r="C40" s="57" t="s">
        <v>25</v>
      </c>
      <c r="D40" s="87">
        <f>0.15*(D37*D38)</f>
        <v>43.199999999999996</v>
      </c>
      <c r="E40" s="87"/>
      <c r="F40" s="58"/>
      <c r="G40" s="121"/>
      <c r="H40" s="4"/>
      <c r="I40" s="16"/>
    </row>
    <row r="41" spans="2:9" ht="25.5">
      <c r="B41" s="17" t="s">
        <v>52</v>
      </c>
      <c r="C41" s="57"/>
      <c r="D41" s="121" t="s">
        <v>65</v>
      </c>
      <c r="E41" s="87"/>
      <c r="F41" s="58"/>
      <c r="G41" s="87"/>
      <c r="H41" s="4"/>
      <c r="I41" s="16"/>
    </row>
    <row r="42" spans="2:9">
      <c r="B42" s="17" t="s">
        <v>93</v>
      </c>
      <c r="C42" s="57" t="s">
        <v>94</v>
      </c>
      <c r="D42" s="121">
        <v>3.2</v>
      </c>
      <c r="E42" s="87"/>
      <c r="F42" s="58"/>
      <c r="G42" s="87"/>
      <c r="H42" s="4"/>
      <c r="I42" s="16"/>
    </row>
    <row r="43" spans="2:9">
      <c r="B43" s="17" t="s">
        <v>95</v>
      </c>
      <c r="C43" s="57" t="s">
        <v>96</v>
      </c>
      <c r="D43" s="121">
        <v>1090</v>
      </c>
      <c r="E43" s="87"/>
      <c r="F43" s="58"/>
      <c r="G43" s="87"/>
      <c r="H43" s="4"/>
      <c r="I43" s="16"/>
    </row>
    <row r="44" spans="2:9">
      <c r="B44" s="17" t="s">
        <v>53</v>
      </c>
      <c r="C44" s="57" t="s">
        <v>24</v>
      </c>
      <c r="D44" s="87">
        <v>-8</v>
      </c>
      <c r="E44" s="87"/>
      <c r="F44" s="58"/>
      <c r="G44" s="87"/>
      <c r="H44" s="4"/>
      <c r="I44" s="16"/>
    </row>
    <row r="45" spans="2:9" ht="12.75" hidden="1" customHeight="1">
      <c r="B45" s="17" t="s">
        <v>54</v>
      </c>
      <c r="C45" s="57" t="s">
        <v>24</v>
      </c>
      <c r="D45" s="87">
        <v>-13</v>
      </c>
      <c r="E45" s="87"/>
      <c r="F45" s="58"/>
      <c r="G45" s="87"/>
      <c r="H45" s="4"/>
      <c r="I45" s="16"/>
    </row>
    <row r="46" spans="2:9" ht="13.5" hidden="1" customHeight="1">
      <c r="B46" s="17" t="s">
        <v>55</v>
      </c>
      <c r="C46" s="57" t="s">
        <v>26</v>
      </c>
      <c r="D46" s="83">
        <f>D39/(D43*D42*(D44-D45))*3600</f>
        <v>13.376146788990825</v>
      </c>
      <c r="E46" s="83"/>
      <c r="F46" s="85"/>
      <c r="G46" s="83"/>
      <c r="H46" s="4"/>
      <c r="I46" s="16"/>
    </row>
    <row r="47" spans="2:9">
      <c r="B47" s="17" t="s">
        <v>56</v>
      </c>
      <c r="C47" s="57" t="s">
        <v>48</v>
      </c>
      <c r="D47" s="83">
        <v>20</v>
      </c>
      <c r="E47" s="83"/>
      <c r="F47" s="85"/>
      <c r="G47" s="83"/>
      <c r="H47" s="4"/>
      <c r="I47" s="16"/>
    </row>
    <row r="48" spans="2:9">
      <c r="B48" s="17" t="s">
        <v>97</v>
      </c>
      <c r="C48" s="57" t="s">
        <v>98</v>
      </c>
      <c r="D48" s="83">
        <f>SQRT(4*D46/(3.14*1.5*3600))*1000</f>
        <v>56.173800137517773</v>
      </c>
      <c r="E48" s="83"/>
      <c r="F48" s="85"/>
      <c r="G48" s="83"/>
      <c r="H48" s="4"/>
      <c r="I48" s="16"/>
    </row>
    <row r="49" spans="2:9">
      <c r="B49" s="17"/>
      <c r="C49" s="57"/>
      <c r="D49" s="83"/>
      <c r="E49" s="83"/>
      <c r="F49" s="85"/>
      <c r="G49" s="83"/>
      <c r="H49" s="4"/>
      <c r="I49" s="16"/>
    </row>
    <row r="50" spans="2:9">
      <c r="B50" s="17"/>
      <c r="C50" s="57"/>
      <c r="D50" s="83"/>
      <c r="E50" s="83"/>
      <c r="F50" s="85"/>
      <c r="G50" s="83"/>
      <c r="H50" s="4"/>
      <c r="I50" s="16"/>
    </row>
    <row r="51" spans="2:9">
      <c r="B51" s="147" t="s">
        <v>99</v>
      </c>
      <c r="C51" s="59"/>
      <c r="D51" s="35"/>
      <c r="E51" s="84"/>
      <c r="F51" s="64"/>
      <c r="G51" s="59"/>
      <c r="H51" s="35"/>
      <c r="I51" s="16"/>
    </row>
    <row r="52" spans="2:9">
      <c r="B52" s="66" t="s">
        <v>6</v>
      </c>
      <c r="C52" s="295" t="s">
        <v>7</v>
      </c>
      <c r="D52" s="295"/>
      <c r="E52" s="55"/>
      <c r="F52" s="64"/>
      <c r="G52" s="295"/>
      <c r="H52" s="295"/>
      <c r="I52" s="16"/>
    </row>
    <row r="53" spans="2:9">
      <c r="B53" s="38" t="s">
        <v>8</v>
      </c>
      <c r="C53" s="67">
        <v>2</v>
      </c>
      <c r="D53" s="60" t="s">
        <v>159</v>
      </c>
      <c r="E53" s="274" t="s">
        <v>163</v>
      </c>
      <c r="F53" s="275"/>
      <c r="G53" s="67"/>
      <c r="H53" s="60"/>
      <c r="I53" s="16"/>
    </row>
    <row r="54" spans="2:9">
      <c r="B54" s="38" t="s">
        <v>101</v>
      </c>
      <c r="C54" s="277">
        <f>C53*36.44</f>
        <v>72.88</v>
      </c>
      <c r="D54" s="286"/>
      <c r="E54" s="204"/>
      <c r="F54" s="34"/>
      <c r="G54" s="277"/>
      <c r="H54" s="286"/>
      <c r="I54" s="16"/>
    </row>
    <row r="55" spans="2:9">
      <c r="B55" s="17" t="s">
        <v>9</v>
      </c>
      <c r="C55" s="57"/>
      <c r="D55" s="39" t="s">
        <v>102</v>
      </c>
      <c r="E55" s="204"/>
      <c r="F55" s="34"/>
      <c r="G55" s="57"/>
      <c r="H55" s="39"/>
      <c r="I55" s="16"/>
    </row>
    <row r="56" spans="2:9">
      <c r="B56" s="17" t="s">
        <v>10</v>
      </c>
      <c r="C56" s="57"/>
      <c r="D56" s="39">
        <f>C53*21*1.1</f>
        <v>46.2</v>
      </c>
      <c r="E56" s="204"/>
      <c r="F56" s="34"/>
      <c r="G56" s="57"/>
      <c r="H56" s="39"/>
      <c r="I56" s="16"/>
    </row>
    <row r="57" spans="2:9">
      <c r="B57" s="17" t="s">
        <v>27</v>
      </c>
      <c r="C57" s="57"/>
      <c r="D57" s="202">
        <f>(C54+D56)*1.21*1.1</f>
        <v>158.49547999999999</v>
      </c>
      <c r="E57" s="40"/>
      <c r="F57" s="34"/>
      <c r="G57" s="57"/>
      <c r="H57" s="202"/>
      <c r="I57" s="16"/>
    </row>
    <row r="58" spans="2:9">
      <c r="B58" s="68" t="s">
        <v>28</v>
      </c>
      <c r="C58" s="61" t="s">
        <v>29</v>
      </c>
      <c r="D58" s="62" t="s">
        <v>30</v>
      </c>
      <c r="E58" s="62"/>
      <c r="F58" s="122"/>
      <c r="G58" s="61"/>
      <c r="H58" s="62"/>
      <c r="I58" s="16"/>
    </row>
    <row r="59" spans="2:9">
      <c r="B59" s="65" t="s">
        <v>31</v>
      </c>
      <c r="C59" s="63">
        <v>35</v>
      </c>
      <c r="D59" s="4">
        <v>35</v>
      </c>
      <c r="E59" s="4"/>
      <c r="F59" s="64"/>
      <c r="G59" s="63"/>
      <c r="H59" s="4"/>
      <c r="I59" s="16"/>
    </row>
    <row r="60" spans="2:9">
      <c r="B60" s="65" t="s">
        <v>32</v>
      </c>
      <c r="C60" s="63"/>
      <c r="D60" s="4">
        <v>28</v>
      </c>
      <c r="E60" s="4"/>
      <c r="F60" s="64"/>
      <c r="G60" s="63"/>
      <c r="H60" s="4"/>
      <c r="I60" s="16"/>
    </row>
    <row r="61" spans="2:9">
      <c r="B61" s="65" t="s">
        <v>33</v>
      </c>
      <c r="C61" s="59"/>
      <c r="D61" s="35">
        <v>28</v>
      </c>
      <c r="E61" s="84"/>
      <c r="F61" s="64"/>
      <c r="G61" s="59"/>
      <c r="H61" s="35"/>
      <c r="I61" s="16"/>
    </row>
    <row r="62" spans="2:9" ht="13.5" thickBot="1">
      <c r="B62" s="41" t="s">
        <v>34</v>
      </c>
      <c r="C62" s="69">
        <v>54</v>
      </c>
      <c r="D62" s="70" t="s">
        <v>165</v>
      </c>
      <c r="E62" s="24"/>
      <c r="F62" s="29"/>
      <c r="G62" s="63"/>
      <c r="H62" s="35"/>
      <c r="I62" s="16"/>
    </row>
    <row r="63" spans="2:9">
      <c r="B63" s="17"/>
      <c r="C63" s="57"/>
      <c r="D63" s="83"/>
      <c r="E63" s="204"/>
      <c r="F63" s="34"/>
      <c r="G63" s="15"/>
      <c r="H63" s="16"/>
      <c r="I63" s="16"/>
    </row>
    <row r="64" spans="2:9" ht="13.5" thickBot="1">
      <c r="B64" s="91"/>
      <c r="C64" s="88"/>
      <c r="D64" s="89"/>
      <c r="E64" s="148"/>
      <c r="F64" s="149"/>
      <c r="G64" s="15"/>
      <c r="H64" s="16"/>
      <c r="I64" s="16"/>
    </row>
    <row r="65" spans="2:20" ht="13.5" thickBot="1">
      <c r="B65" s="30" t="s">
        <v>160</v>
      </c>
      <c r="C65" s="31"/>
      <c r="D65" s="32"/>
      <c r="E65" s="32"/>
      <c r="F65" s="33"/>
      <c r="G65" s="15"/>
      <c r="H65" s="16"/>
      <c r="I65" s="16"/>
    </row>
    <row r="66" spans="2:20" ht="13.5" thickBot="1">
      <c r="B66" s="71"/>
      <c r="C66" s="72"/>
      <c r="D66" s="73"/>
      <c r="E66" s="73"/>
      <c r="F66" s="74"/>
      <c r="G66" s="15"/>
      <c r="H66" s="16"/>
      <c r="I66" s="16"/>
    </row>
    <row r="67" spans="2:20" ht="102">
      <c r="B67" s="96" t="s">
        <v>161</v>
      </c>
      <c r="C67" s="97">
        <v>1</v>
      </c>
      <c r="D67" s="98" t="s">
        <v>5</v>
      </c>
      <c r="E67" s="99">
        <f>(20285+605+2132+212*2)*1.05*69+2119*69*1.05+4491*69</f>
        <v>2162063.25</v>
      </c>
      <c r="F67" s="100">
        <f t="shared" ref="F67:F68" si="0">C67*E67</f>
        <v>2162063.25</v>
      </c>
      <c r="G67" s="15"/>
      <c r="H67" s="16"/>
      <c r="I67" s="16"/>
      <c r="S67" s="11">
        <f>E67*(30*15)/(28*58)</f>
        <v>599093.88084975374</v>
      </c>
      <c r="T67" s="11" t="s">
        <v>104</v>
      </c>
    </row>
    <row r="68" spans="2:20" ht="26.25" thickBot="1">
      <c r="B68" s="53" t="s">
        <v>162</v>
      </c>
      <c r="C68" s="50">
        <v>1</v>
      </c>
      <c r="D68" s="51" t="s">
        <v>36</v>
      </c>
      <c r="E68" s="52">
        <f>1.5*208194</f>
        <v>312291</v>
      </c>
      <c r="F68" s="54">
        <f t="shared" si="0"/>
        <v>312291</v>
      </c>
      <c r="G68" s="15"/>
      <c r="H68" s="16"/>
      <c r="I68" s="16"/>
      <c r="O68" s="12">
        <f>F67+F68</f>
        <v>2474354.25</v>
      </c>
    </row>
    <row r="69" spans="2:20" ht="13.5" thickBot="1">
      <c r="B69" s="22" t="s">
        <v>11</v>
      </c>
      <c r="C69" s="23"/>
      <c r="D69" s="24"/>
      <c r="E69" s="25"/>
      <c r="F69" s="151">
        <f>SUM(F67:F68)</f>
        <v>2474354.25</v>
      </c>
      <c r="G69" s="15"/>
      <c r="H69" s="16"/>
      <c r="I69" s="16"/>
    </row>
    <row r="70" spans="2:20" ht="13.5" thickBot="1">
      <c r="B70" s="20" t="s">
        <v>4</v>
      </c>
      <c r="C70" s="19"/>
      <c r="D70" s="18"/>
      <c r="E70" s="19"/>
      <c r="F70" s="21">
        <f>F69*18/118</f>
        <v>377443.86864406778</v>
      </c>
      <c r="G70" s="15"/>
      <c r="H70" s="16"/>
      <c r="I70" s="16"/>
    </row>
    <row r="71" spans="2:20" ht="13.5" hidden="1" customHeight="1">
      <c r="B71" s="20" t="s">
        <v>38</v>
      </c>
      <c r="C71" s="19"/>
      <c r="D71" s="18">
        <v>87.2</v>
      </c>
      <c r="E71" s="19"/>
      <c r="F71" s="80">
        <f>F69/D71</f>
        <v>28375.622133027522</v>
      </c>
      <c r="G71" s="15"/>
      <c r="H71" s="16"/>
      <c r="I71" s="16"/>
    </row>
    <row r="72" spans="2:20" ht="25.5">
      <c r="B72" s="75" t="s">
        <v>57</v>
      </c>
      <c r="G72" s="15"/>
      <c r="H72" s="16"/>
      <c r="I72" s="16"/>
    </row>
    <row r="73" spans="2:20">
      <c r="B73" s="11" t="s">
        <v>37</v>
      </c>
      <c r="G73" s="15"/>
      <c r="H73" s="16"/>
      <c r="I73" s="16"/>
    </row>
    <row r="74" spans="2:20">
      <c r="B74" s="11" t="s">
        <v>109</v>
      </c>
      <c r="C74" s="57"/>
      <c r="D74" s="83"/>
      <c r="E74" s="204"/>
      <c r="F74" s="203"/>
      <c r="G74" s="15"/>
      <c r="H74" s="16"/>
      <c r="I74" s="16"/>
    </row>
    <row r="75" spans="2:20" ht="37.5" customHeight="1" thickBot="1">
      <c r="B75" s="152" t="s">
        <v>114</v>
      </c>
      <c r="C75" s="57"/>
      <c r="D75" s="83"/>
      <c r="E75" s="204"/>
      <c r="F75" s="203"/>
      <c r="G75" s="15"/>
      <c r="H75" s="16"/>
      <c r="I75" s="16"/>
    </row>
    <row r="76" spans="2:20">
      <c r="B76" s="96" t="s">
        <v>59</v>
      </c>
      <c r="C76" s="97">
        <v>1</v>
      </c>
      <c r="D76" s="98" t="s">
        <v>36</v>
      </c>
      <c r="E76" s="99">
        <f>D37*D38*1.1*1172*1.15*1.2*1.2</f>
        <v>614855.57759999984</v>
      </c>
      <c r="F76" s="100">
        <f t="shared" ref="F76:F79" si="1">C76*E76</f>
        <v>614855.57759999984</v>
      </c>
      <c r="G76" s="16"/>
      <c r="H76" s="11"/>
      <c r="I76" s="12"/>
      <c r="K76" s="11"/>
    </row>
    <row r="77" spans="2:20">
      <c r="B77" s="53" t="s">
        <v>60</v>
      </c>
      <c r="C77" s="50">
        <v>1</v>
      </c>
      <c r="D77" s="51" t="s">
        <v>21</v>
      </c>
      <c r="E77" s="52">
        <f>E67*0.08</f>
        <v>172965.06</v>
      </c>
      <c r="F77" s="54">
        <f t="shared" si="1"/>
        <v>172965.06</v>
      </c>
      <c r="G77" s="16"/>
      <c r="H77" s="11"/>
      <c r="I77" s="12"/>
      <c r="K77" s="11"/>
    </row>
    <row r="78" spans="2:20">
      <c r="B78" s="53" t="s">
        <v>112</v>
      </c>
      <c r="C78" s="50">
        <v>1</v>
      </c>
      <c r="D78" s="51" t="s">
        <v>21</v>
      </c>
      <c r="E78" s="52">
        <v>24840</v>
      </c>
      <c r="F78" s="54">
        <f t="shared" si="1"/>
        <v>24840</v>
      </c>
      <c r="G78" s="16"/>
      <c r="H78" s="11"/>
      <c r="I78" s="12"/>
      <c r="K78" s="11"/>
    </row>
    <row r="79" spans="2:20" ht="13.5" thickBot="1">
      <c r="B79" s="101" t="s">
        <v>61</v>
      </c>
      <c r="C79" s="102">
        <v>1</v>
      </c>
      <c r="D79" s="103" t="s">
        <v>36</v>
      </c>
      <c r="E79" s="104">
        <f>804307*0.55</f>
        <v>442368.85000000003</v>
      </c>
      <c r="F79" s="105">
        <f t="shared" si="1"/>
        <v>442368.85000000003</v>
      </c>
      <c r="G79" s="16"/>
      <c r="H79" s="11"/>
      <c r="I79" s="12"/>
      <c r="K79" s="11"/>
    </row>
    <row r="80" spans="2:20" ht="13.5" thickBot="1">
      <c r="F80" s="151">
        <f>SUM(F76:F79)</f>
        <v>1255029.4875999999</v>
      </c>
    </row>
    <row r="82" spans="2:20" ht="13.5" thickBot="1">
      <c r="B82" s="201" t="s">
        <v>111</v>
      </c>
    </row>
    <row r="83" spans="2:20" ht="25.5">
      <c r="B83" s="96" t="s">
        <v>105</v>
      </c>
      <c r="C83" s="97">
        <v>1</v>
      </c>
      <c r="D83" s="98" t="s">
        <v>5</v>
      </c>
      <c r="E83" s="99">
        <f>1.3*314154*0.4</f>
        <v>163360.08000000002</v>
      </c>
      <c r="F83" s="100">
        <f>C83*E83</f>
        <v>163360.08000000002</v>
      </c>
      <c r="G83" s="15"/>
      <c r="H83" s="16"/>
      <c r="I83" s="16"/>
    </row>
    <row r="84" spans="2:20" ht="25.5">
      <c r="B84" s="53" t="s">
        <v>106</v>
      </c>
      <c r="C84" s="50">
        <v>1</v>
      </c>
      <c r="D84" s="51" t="s">
        <v>5</v>
      </c>
      <c r="E84" s="52">
        <f>0.9*451654*0.45</f>
        <v>182919.87000000002</v>
      </c>
      <c r="F84" s="54">
        <f>C84*E84</f>
        <v>182919.87000000002</v>
      </c>
      <c r="G84" s="15"/>
      <c r="H84" s="16"/>
      <c r="I84" s="16"/>
    </row>
    <row r="85" spans="2:20" ht="13.5" thickBot="1">
      <c r="B85" s="101" t="s">
        <v>108</v>
      </c>
      <c r="C85" s="102">
        <v>1</v>
      </c>
      <c r="D85" s="103" t="s">
        <v>36</v>
      </c>
      <c r="E85" s="104">
        <f>0.38*315151</f>
        <v>119757.38</v>
      </c>
      <c r="F85" s="105">
        <f>C85*E85</f>
        <v>119757.38</v>
      </c>
      <c r="G85" s="15"/>
      <c r="H85" s="16"/>
      <c r="I85" s="16"/>
    </row>
    <row r="87" spans="2:20" ht="13.5" thickBot="1"/>
    <row r="88" spans="2:20" ht="13.5" thickBot="1">
      <c r="B88" s="30" t="s">
        <v>164</v>
      </c>
      <c r="C88" s="31"/>
      <c r="D88" s="32"/>
      <c r="E88" s="32"/>
      <c r="F88" s="33"/>
      <c r="G88" s="15"/>
      <c r="H88" s="16"/>
      <c r="I88" s="16"/>
    </row>
    <row r="89" spans="2:20" ht="13.5" thickBot="1">
      <c r="B89" s="71"/>
      <c r="C89" s="72"/>
      <c r="D89" s="73"/>
      <c r="E89" s="73"/>
      <c r="F89" s="74"/>
      <c r="G89" s="15"/>
      <c r="H89" s="16"/>
      <c r="I89" s="16"/>
    </row>
    <row r="90" spans="2:20" ht="102">
      <c r="B90" s="96" t="s">
        <v>161</v>
      </c>
      <c r="C90" s="97">
        <v>1</v>
      </c>
      <c r="D90" s="98" t="s">
        <v>5</v>
      </c>
      <c r="E90" s="99">
        <f>E67*0.67</f>
        <v>1448582.3775000002</v>
      </c>
      <c r="F90" s="100">
        <f t="shared" ref="F90:F91" si="2">C90*E90</f>
        <v>1448582.3775000002</v>
      </c>
      <c r="G90" s="15"/>
      <c r="H90" s="16"/>
      <c r="I90" s="16"/>
      <c r="S90" s="11">
        <f>E90*(30*15)/(28*58)</f>
        <v>401392.90016933507</v>
      </c>
      <c r="T90" s="11" t="s">
        <v>104</v>
      </c>
    </row>
    <row r="91" spans="2:20" ht="26.25" thickBot="1">
      <c r="B91" s="53" t="s">
        <v>135</v>
      </c>
      <c r="C91" s="50">
        <v>1</v>
      </c>
      <c r="D91" s="51" t="s">
        <v>36</v>
      </c>
      <c r="E91" s="52">
        <f>1.9*208194</f>
        <v>395568.6</v>
      </c>
      <c r="F91" s="54">
        <f t="shared" si="2"/>
        <v>395568.6</v>
      </c>
      <c r="G91" s="15"/>
      <c r="H91" s="16"/>
      <c r="I91" s="16"/>
      <c r="O91" s="12">
        <f>F90+F91</f>
        <v>1844150.9775</v>
      </c>
    </row>
    <row r="92" spans="2:20" ht="13.5" thickBot="1">
      <c r="B92" s="22" t="s">
        <v>11</v>
      </c>
      <c r="C92" s="23"/>
      <c r="D92" s="24"/>
      <c r="E92" s="25"/>
      <c r="F92" s="151">
        <f>SUM(F90:F91)</f>
        <v>1844150.9775</v>
      </c>
      <c r="G92" s="15"/>
      <c r="H92" s="16"/>
      <c r="I92" s="16"/>
    </row>
    <row r="93" spans="2:20" ht="13.5" thickBot="1">
      <c r="B93" s="20" t="s">
        <v>4</v>
      </c>
      <c r="C93" s="19"/>
      <c r="D93" s="18"/>
      <c r="E93" s="19"/>
      <c r="F93" s="21">
        <f>F92*18/118</f>
        <v>281311.16605932201</v>
      </c>
      <c r="G93" s="15"/>
      <c r="H93" s="16"/>
      <c r="I93" s="16"/>
    </row>
    <row r="94" spans="2:20" ht="13.5" hidden="1" customHeight="1">
      <c r="B94" s="20" t="s">
        <v>38</v>
      </c>
      <c r="C94" s="19"/>
      <c r="D94" s="18">
        <v>87.2</v>
      </c>
      <c r="E94" s="19"/>
      <c r="F94" s="80">
        <f>F92/D94</f>
        <v>21148.520384174313</v>
      </c>
      <c r="G94" s="15"/>
      <c r="H94" s="16"/>
      <c r="I94" s="16"/>
    </row>
    <row r="95" spans="2:20" ht="25.5">
      <c r="B95" s="75" t="s">
        <v>57</v>
      </c>
      <c r="G95" s="15"/>
      <c r="H95" s="16"/>
      <c r="I95" s="16"/>
    </row>
    <row r="96" spans="2:20">
      <c r="B96" s="11" t="s">
        <v>37</v>
      </c>
      <c r="G96" s="15"/>
      <c r="H96" s="16"/>
      <c r="I96" s="16"/>
    </row>
    <row r="97" spans="2:9">
      <c r="B97" s="11" t="s">
        <v>109</v>
      </c>
      <c r="C97" s="57"/>
      <c r="D97" s="83"/>
      <c r="E97" s="204"/>
      <c r="F97" s="203"/>
      <c r="G97" s="15"/>
      <c r="H97" s="16"/>
      <c r="I97" s="16"/>
    </row>
  </sheetData>
  <mergeCells count="26">
    <mergeCell ref="C54:D54"/>
    <mergeCell ref="G54:H54"/>
    <mergeCell ref="B30:F30"/>
    <mergeCell ref="B33:F33"/>
    <mergeCell ref="B34:F34"/>
    <mergeCell ref="C52:D52"/>
    <mergeCell ref="G52:H52"/>
    <mergeCell ref="E53:F53"/>
    <mergeCell ref="C23:F23"/>
    <mergeCell ref="B24:D24"/>
    <mergeCell ref="B25:F25"/>
    <mergeCell ref="B26:F26"/>
    <mergeCell ref="C28:D28"/>
    <mergeCell ref="E28:F28"/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7"/>
  <sheetViews>
    <sheetView topLeftCell="A32" zoomScaleNormal="100" zoomScaleSheetLayoutView="100" workbookViewId="0">
      <selection activeCell="I39" sqref="I39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0.7109375" style="12" customWidth="1"/>
    <col min="6" max="6" width="12.42578125" style="12" customWidth="1"/>
    <col min="7" max="7" width="8.7109375" style="144" customWidth="1"/>
    <col min="8" max="8" width="8.7109375" style="13" customWidth="1"/>
    <col min="9" max="9" width="6.85546875" style="13" customWidth="1"/>
    <col min="10" max="10" width="9.140625" style="11" customWidth="1"/>
    <col min="11" max="11" width="11.7109375" style="12" customWidth="1"/>
    <col min="12" max="12" width="9.140625" style="11" customWidth="1"/>
    <col min="13" max="13" width="12.140625" style="11" customWidth="1"/>
    <col min="14" max="15" width="9.140625" style="11" customWidth="1"/>
    <col min="16" max="16" width="11.28515625" style="11" hidden="1" customWidth="1"/>
    <col min="17" max="17" width="9.140625" style="11" hidden="1" customWidth="1"/>
    <col min="18" max="18" width="3" style="11" hidden="1" customWidth="1"/>
    <col min="19" max="19" width="0" style="11" hidden="1" customWidth="1"/>
    <col min="20" max="22" width="9.140625" style="11" hidden="1" customWidth="1"/>
    <col min="23" max="24" width="0" style="11" hidden="1" customWidth="1"/>
    <col min="25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132"/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90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127"/>
      <c r="D9" s="127"/>
      <c r="E9" s="127"/>
      <c r="F9" s="127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125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125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125"/>
      <c r="F15" s="34"/>
      <c r="G15" s="15"/>
      <c r="H15" s="16"/>
      <c r="I15" s="16"/>
    </row>
    <row r="16" spans="1:11" hidden="1">
      <c r="B16" s="17" t="s">
        <v>10</v>
      </c>
      <c r="C16" s="43"/>
      <c r="D16" s="126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131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131"/>
      <c r="C20" s="46"/>
      <c r="D20" s="15"/>
      <c r="E20" s="55"/>
      <c r="F20" s="27"/>
      <c r="G20" s="15"/>
      <c r="H20" s="16"/>
      <c r="I20" s="16"/>
    </row>
    <row r="21" spans="1:11">
      <c r="B21" s="131"/>
      <c r="C21" s="46"/>
      <c r="D21" s="15"/>
      <c r="E21" s="55"/>
      <c r="F21" s="27"/>
      <c r="G21" s="15"/>
      <c r="H21" s="16"/>
      <c r="I21" s="16"/>
    </row>
    <row r="22" spans="1:11" ht="148.5" customHeight="1">
      <c r="B22" s="131"/>
      <c r="C22" s="46"/>
      <c r="D22" s="35"/>
      <c r="E22" s="4"/>
      <c r="F22" s="27"/>
      <c r="G22" s="15"/>
      <c r="H22" s="16"/>
      <c r="I22" s="16"/>
    </row>
    <row r="23" spans="1:11" ht="175.5" customHeight="1">
      <c r="B23" s="131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ht="13.5" thickBot="1"/>
    <row r="28" spans="1:11" s="78" customFormat="1" ht="34.5" customHeight="1" thickBot="1">
      <c r="A28" s="76"/>
      <c r="B28" s="92" t="s">
        <v>80</v>
      </c>
      <c r="C28" s="282"/>
      <c r="D28" s="283"/>
      <c r="E28" s="284"/>
      <c r="F28" s="285"/>
      <c r="G28" s="145"/>
      <c r="H28" s="77"/>
      <c r="I28" s="77"/>
      <c r="K28" s="79"/>
    </row>
    <row r="29" spans="1:11" s="78" customFormat="1" ht="23.25">
      <c r="A29" s="76"/>
      <c r="B29" s="129" t="s">
        <v>62</v>
      </c>
      <c r="C29" s="130"/>
      <c r="D29" s="130"/>
      <c r="E29" s="130"/>
      <c r="F29" s="130"/>
      <c r="G29" s="145"/>
      <c r="H29" s="77"/>
      <c r="I29" s="77"/>
      <c r="K29" s="79"/>
    </row>
    <row r="30" spans="1:11" s="78" customFormat="1" ht="122.25" customHeight="1" thickBot="1">
      <c r="A30" s="76"/>
      <c r="B30" s="287" t="s">
        <v>91</v>
      </c>
      <c r="C30" s="288"/>
      <c r="D30" s="288"/>
      <c r="E30" s="288"/>
      <c r="F30" s="288"/>
      <c r="G30" s="145"/>
      <c r="H30" s="77"/>
      <c r="I30" s="77"/>
      <c r="K30" s="79"/>
    </row>
    <row r="31" spans="1:11" s="78" customFormat="1" ht="24" thickBot="1">
      <c r="A31" s="76"/>
      <c r="B31" s="95" t="s">
        <v>74</v>
      </c>
      <c r="C31" s="93"/>
      <c r="D31" s="93"/>
      <c r="E31" s="93"/>
      <c r="F31" s="94"/>
      <c r="G31" s="145"/>
      <c r="H31" s="77"/>
      <c r="I31" s="77"/>
      <c r="K31" s="79"/>
    </row>
    <row r="32" spans="1:11" ht="16.5" thickBot="1">
      <c r="B32" s="81" t="s">
        <v>40</v>
      </c>
      <c r="C32" s="129"/>
      <c r="D32" s="14"/>
      <c r="E32" s="14"/>
      <c r="F32" s="82"/>
      <c r="G32" s="15"/>
      <c r="H32" s="16"/>
      <c r="I32" s="16"/>
    </row>
    <row r="33" spans="2:9" ht="57.75" customHeight="1" thickBot="1">
      <c r="B33" s="289" t="s">
        <v>92</v>
      </c>
      <c r="C33" s="290"/>
      <c r="D33" s="290"/>
      <c r="E33" s="290"/>
      <c r="F33" s="291"/>
      <c r="G33" s="15"/>
      <c r="H33" s="16"/>
      <c r="I33" s="16"/>
    </row>
    <row r="34" spans="2:9" ht="56.25" hidden="1" customHeight="1">
      <c r="B34" s="292" t="s">
        <v>58</v>
      </c>
      <c r="C34" s="293"/>
      <c r="D34" s="293"/>
      <c r="E34" s="293"/>
      <c r="F34" s="294"/>
      <c r="G34" s="15"/>
      <c r="H34" s="16"/>
      <c r="I34" s="16"/>
    </row>
    <row r="35" spans="2:9">
      <c r="B35" s="90" t="s">
        <v>45</v>
      </c>
      <c r="C35" s="56"/>
      <c r="D35" s="86" t="s">
        <v>64</v>
      </c>
      <c r="E35" s="37"/>
      <c r="F35" s="146"/>
      <c r="G35" s="55"/>
      <c r="H35" s="4"/>
      <c r="I35" s="16"/>
    </row>
    <row r="36" spans="2:9">
      <c r="B36" s="17" t="s">
        <v>46</v>
      </c>
      <c r="C36" s="57"/>
      <c r="D36" s="83"/>
      <c r="E36" s="83"/>
      <c r="F36" s="85"/>
      <c r="G36" s="83"/>
      <c r="H36" s="4"/>
      <c r="I36" s="16"/>
    </row>
    <row r="37" spans="2:9">
      <c r="B37" s="17" t="s">
        <v>47</v>
      </c>
      <c r="C37" s="57" t="s">
        <v>48</v>
      </c>
      <c r="D37" s="87">
        <v>30</v>
      </c>
      <c r="E37" s="87">
        <v>30</v>
      </c>
      <c r="F37" s="58">
        <f>24</f>
        <v>24</v>
      </c>
      <c r="G37" s="87"/>
      <c r="H37" s="4"/>
      <c r="I37" s="16"/>
    </row>
    <row r="38" spans="2:9">
      <c r="B38" s="17" t="s">
        <v>49</v>
      </c>
      <c r="C38" s="57" t="s">
        <v>48</v>
      </c>
      <c r="D38" s="87">
        <v>15</v>
      </c>
      <c r="E38" s="87">
        <v>20</v>
      </c>
      <c r="F38" s="58">
        <v>12</v>
      </c>
      <c r="G38" s="87"/>
      <c r="H38" s="4"/>
      <c r="I38" s="16"/>
    </row>
    <row r="39" spans="2:9">
      <c r="B39" s="17" t="s">
        <v>50</v>
      </c>
      <c r="C39" s="57" t="s">
        <v>25</v>
      </c>
      <c r="D39" s="87">
        <f>0.225*(D37*D38)</f>
        <v>101.25</v>
      </c>
      <c r="E39" s="87">
        <f>0.225*(E37*E38)</f>
        <v>135</v>
      </c>
      <c r="F39" s="87">
        <f>0.225*(F37*F38)</f>
        <v>64.8</v>
      </c>
      <c r="G39" s="87"/>
      <c r="H39" s="4">
        <f>180/0.225</f>
        <v>800</v>
      </c>
      <c r="I39" s="16">
        <f>H39/40</f>
        <v>20</v>
      </c>
    </row>
    <row r="40" spans="2:9">
      <c r="B40" s="17" t="s">
        <v>51</v>
      </c>
      <c r="C40" s="57" t="s">
        <v>25</v>
      </c>
      <c r="D40" s="87">
        <f>0.15*(D37*D38)</f>
        <v>67.5</v>
      </c>
      <c r="E40" s="87">
        <f>0.15*(E37*E38)</f>
        <v>90</v>
      </c>
      <c r="F40" s="87">
        <f>0.15*(F37*F38)</f>
        <v>43.199999999999996</v>
      </c>
      <c r="G40" s="121"/>
      <c r="H40" s="4"/>
      <c r="I40" s="16"/>
    </row>
    <row r="41" spans="2:9" ht="25.5">
      <c r="B41" s="17" t="s">
        <v>52</v>
      </c>
      <c r="C41" s="57"/>
      <c r="D41" s="121" t="s">
        <v>65</v>
      </c>
      <c r="E41" s="87"/>
      <c r="F41" s="58"/>
      <c r="G41" s="87"/>
      <c r="H41" s="4"/>
      <c r="I41" s="16"/>
    </row>
    <row r="42" spans="2:9">
      <c r="B42" s="17" t="s">
        <v>93</v>
      </c>
      <c r="C42" s="57" t="s">
        <v>94</v>
      </c>
      <c r="D42" s="121">
        <v>3.2</v>
      </c>
      <c r="E42" s="87"/>
      <c r="F42" s="58"/>
      <c r="G42" s="87"/>
      <c r="H42" s="4"/>
      <c r="I42" s="16"/>
    </row>
    <row r="43" spans="2:9">
      <c r="B43" s="17" t="s">
        <v>95</v>
      </c>
      <c r="C43" s="57" t="s">
        <v>96</v>
      </c>
      <c r="D43" s="121">
        <v>1090</v>
      </c>
      <c r="E43" s="87"/>
      <c r="F43" s="58"/>
      <c r="G43" s="87"/>
      <c r="H43" s="4"/>
      <c r="I43" s="16"/>
    </row>
    <row r="44" spans="2:9">
      <c r="B44" s="17" t="s">
        <v>53</v>
      </c>
      <c r="C44" s="57" t="s">
        <v>24</v>
      </c>
      <c r="D44" s="87">
        <v>-8</v>
      </c>
      <c r="E44" s="87"/>
      <c r="F44" s="58"/>
      <c r="G44" s="87"/>
      <c r="H44" s="4"/>
      <c r="I44" s="16"/>
    </row>
    <row r="45" spans="2:9" ht="12.75" hidden="1" customHeight="1">
      <c r="B45" s="17" t="s">
        <v>54</v>
      </c>
      <c r="C45" s="57" t="s">
        <v>24</v>
      </c>
      <c r="D45" s="87">
        <v>-13</v>
      </c>
      <c r="E45" s="87"/>
      <c r="F45" s="58"/>
      <c r="G45" s="87"/>
      <c r="H45" s="4"/>
      <c r="I45" s="16"/>
    </row>
    <row r="46" spans="2:9" ht="13.5" hidden="1" customHeight="1">
      <c r="B46" s="17" t="s">
        <v>55</v>
      </c>
      <c r="C46" s="57" t="s">
        <v>26</v>
      </c>
      <c r="D46" s="83">
        <f>D39/(D43*D42*(D44-D45))*3600</f>
        <v>20.900229357798164</v>
      </c>
      <c r="E46" s="83"/>
      <c r="F46" s="85"/>
      <c r="G46" s="83"/>
      <c r="H46" s="4"/>
      <c r="I46" s="16"/>
    </row>
    <row r="47" spans="2:9">
      <c r="B47" s="17" t="s">
        <v>56</v>
      </c>
      <c r="C47" s="57" t="s">
        <v>48</v>
      </c>
      <c r="D47" s="83">
        <v>20</v>
      </c>
      <c r="E47" s="83"/>
      <c r="F47" s="85"/>
      <c r="G47" s="83"/>
      <c r="H47" s="4"/>
      <c r="I47" s="16"/>
    </row>
    <row r="48" spans="2:9">
      <c r="B48" s="17" t="s">
        <v>97</v>
      </c>
      <c r="C48" s="57" t="s">
        <v>98</v>
      </c>
      <c r="D48" s="83">
        <f>SQRT(4*D46/(3.14*1.5*3600))*1000</f>
        <v>70.21725017189722</v>
      </c>
      <c r="E48" s="83"/>
      <c r="F48" s="85"/>
      <c r="G48" s="83"/>
      <c r="H48" s="4"/>
      <c r="I48" s="16"/>
    </row>
    <row r="49" spans="2:9">
      <c r="B49" s="17"/>
      <c r="C49" s="57"/>
      <c r="D49" s="83"/>
      <c r="E49" s="83"/>
      <c r="F49" s="85"/>
      <c r="G49" s="83"/>
      <c r="H49" s="4"/>
      <c r="I49" s="16"/>
    </row>
    <row r="50" spans="2:9">
      <c r="B50" s="17"/>
      <c r="C50" s="57"/>
      <c r="D50" s="83"/>
      <c r="E50" s="83"/>
      <c r="F50" s="85"/>
      <c r="G50" s="83"/>
      <c r="H50" s="4"/>
      <c r="I50" s="16"/>
    </row>
    <row r="51" spans="2:9">
      <c r="B51" s="147" t="s">
        <v>99</v>
      </c>
      <c r="C51" s="59"/>
      <c r="D51" s="35"/>
      <c r="E51" s="84"/>
      <c r="F51" s="64"/>
      <c r="G51" s="59"/>
      <c r="H51" s="35"/>
      <c r="I51" s="16"/>
    </row>
    <row r="52" spans="2:9">
      <c r="B52" s="66" t="s">
        <v>6</v>
      </c>
      <c r="C52" s="295" t="s">
        <v>7</v>
      </c>
      <c r="D52" s="295"/>
      <c r="E52" s="55"/>
      <c r="F52" s="64"/>
      <c r="G52" s="295"/>
      <c r="H52" s="295"/>
      <c r="I52" s="16"/>
    </row>
    <row r="53" spans="2:9" ht="25.5">
      <c r="B53" s="38" t="s">
        <v>8</v>
      </c>
      <c r="C53" s="67">
        <v>1</v>
      </c>
      <c r="D53" s="60" t="s">
        <v>136</v>
      </c>
      <c r="E53" s="274" t="s">
        <v>100</v>
      </c>
      <c r="F53" s="275"/>
      <c r="G53" s="67"/>
      <c r="H53" s="60"/>
      <c r="I53" s="16"/>
    </row>
    <row r="54" spans="2:9">
      <c r="B54" s="38" t="s">
        <v>101</v>
      </c>
      <c r="C54" s="277">
        <f>C53*109</f>
        <v>109</v>
      </c>
      <c r="D54" s="286"/>
      <c r="E54" s="125"/>
      <c r="F54" s="34"/>
      <c r="G54" s="277"/>
      <c r="H54" s="286"/>
      <c r="I54" s="16"/>
    </row>
    <row r="55" spans="2:9">
      <c r="B55" s="17" t="s">
        <v>9</v>
      </c>
      <c r="C55" s="57"/>
      <c r="D55" s="39" t="s">
        <v>102</v>
      </c>
      <c r="E55" s="125"/>
      <c r="F55" s="34"/>
      <c r="G55" s="57"/>
      <c r="H55" s="39"/>
      <c r="I55" s="16"/>
    </row>
    <row r="56" spans="2:9">
      <c r="B56" s="17" t="s">
        <v>10</v>
      </c>
      <c r="C56" s="57"/>
      <c r="D56" s="39">
        <f>C53*53</f>
        <v>53</v>
      </c>
      <c r="E56" s="125"/>
      <c r="F56" s="34"/>
      <c r="G56" s="57"/>
      <c r="H56" s="39"/>
      <c r="I56" s="16"/>
    </row>
    <row r="57" spans="2:9">
      <c r="B57" s="17" t="s">
        <v>27</v>
      </c>
      <c r="C57" s="57"/>
      <c r="D57" s="126">
        <f>(C54+D56)*1.21*1.15</f>
        <v>225.42299999999997</v>
      </c>
      <c r="E57" s="40"/>
      <c r="F57" s="34"/>
      <c r="G57" s="57"/>
      <c r="H57" s="126"/>
      <c r="I57" s="16"/>
    </row>
    <row r="58" spans="2:9">
      <c r="B58" s="68" t="s">
        <v>28</v>
      </c>
      <c r="C58" s="61" t="s">
        <v>29</v>
      </c>
      <c r="D58" s="62" t="s">
        <v>30</v>
      </c>
      <c r="E58" s="62"/>
      <c r="F58" s="122"/>
      <c r="G58" s="61"/>
      <c r="H58" s="62"/>
      <c r="I58" s="16"/>
    </row>
    <row r="59" spans="2:9">
      <c r="B59" s="65" t="s">
        <v>31</v>
      </c>
      <c r="C59" s="63">
        <v>54</v>
      </c>
      <c r="D59" s="4">
        <v>54</v>
      </c>
      <c r="E59" s="4"/>
      <c r="F59" s="64"/>
      <c r="G59" s="63"/>
      <c r="H59" s="4"/>
      <c r="I59" s="16"/>
    </row>
    <row r="60" spans="2:9">
      <c r="B60" s="65" t="s">
        <v>32</v>
      </c>
      <c r="C60" s="63"/>
      <c r="D60" s="4">
        <v>42</v>
      </c>
      <c r="E60" s="4"/>
      <c r="F60" s="64"/>
      <c r="G60" s="63"/>
      <c r="H60" s="4"/>
      <c r="I60" s="16"/>
    </row>
    <row r="61" spans="2:9">
      <c r="B61" s="65" t="s">
        <v>33</v>
      </c>
      <c r="C61" s="59"/>
      <c r="D61" s="35">
        <v>35</v>
      </c>
      <c r="E61" s="84"/>
      <c r="F61" s="64"/>
      <c r="G61" s="59"/>
      <c r="H61" s="35"/>
      <c r="I61" s="16"/>
    </row>
    <row r="62" spans="2:9" ht="13.5" thickBot="1">
      <c r="B62" s="41" t="s">
        <v>34</v>
      </c>
      <c r="C62" s="69">
        <v>76</v>
      </c>
      <c r="D62" s="70" t="s">
        <v>103</v>
      </c>
      <c r="E62" s="24"/>
      <c r="F62" s="29"/>
      <c r="G62" s="63"/>
      <c r="H62" s="35"/>
      <c r="I62" s="16"/>
    </row>
    <row r="63" spans="2:9">
      <c r="B63" s="17"/>
      <c r="C63" s="57"/>
      <c r="D63" s="83"/>
      <c r="E63" s="125"/>
      <c r="F63" s="34"/>
      <c r="G63" s="15"/>
      <c r="H63" s="16"/>
      <c r="I63" s="16"/>
    </row>
    <row r="64" spans="2:9" ht="13.5" thickBot="1">
      <c r="B64" s="91"/>
      <c r="C64" s="88"/>
      <c r="D64" s="89"/>
      <c r="E64" s="148"/>
      <c r="F64" s="149"/>
      <c r="G64" s="15"/>
      <c r="H64" s="16"/>
      <c r="I64" s="16"/>
    </row>
    <row r="65" spans="2:21" ht="13.5" thickBot="1">
      <c r="B65" s="30" t="s">
        <v>113</v>
      </c>
      <c r="C65" s="31"/>
      <c r="D65" s="32"/>
      <c r="E65" s="32"/>
      <c r="F65" s="33"/>
      <c r="G65" s="15"/>
      <c r="H65" s="16"/>
      <c r="I65" s="16"/>
    </row>
    <row r="66" spans="2:21" ht="13.5" thickBot="1">
      <c r="B66" s="71"/>
      <c r="C66" s="72"/>
      <c r="D66" s="73"/>
      <c r="E66" s="73"/>
      <c r="F66" s="74"/>
      <c r="G66" s="15"/>
      <c r="H66" s="16"/>
      <c r="I66" s="16"/>
    </row>
    <row r="67" spans="2:21" ht="127.5">
      <c r="B67" s="96" t="s">
        <v>137</v>
      </c>
      <c r="C67" s="97">
        <v>1</v>
      </c>
      <c r="D67" s="98" t="s">
        <v>5</v>
      </c>
      <c r="E67" s="99">
        <f>2925414*1.05</f>
        <v>3071684.7</v>
      </c>
      <c r="F67" s="100">
        <f t="shared" ref="F67:F68" si="0">C67*E67</f>
        <v>3071684.7</v>
      </c>
      <c r="G67" s="15"/>
      <c r="H67" s="16"/>
      <c r="I67" s="16"/>
      <c r="T67" s="11">
        <f>E67*(30*15)/(28*58)</f>
        <v>851144.15948275861</v>
      </c>
      <c r="U67" s="11" t="s">
        <v>104</v>
      </c>
    </row>
    <row r="68" spans="2:21" ht="26.25" thickBot="1">
      <c r="B68" s="53" t="s">
        <v>135</v>
      </c>
      <c r="C68" s="50">
        <v>1</v>
      </c>
      <c r="D68" s="51" t="s">
        <v>36</v>
      </c>
      <c r="E68" s="52">
        <f>1.9*208194</f>
        <v>395568.6</v>
      </c>
      <c r="F68" s="54">
        <f t="shared" si="0"/>
        <v>395568.6</v>
      </c>
      <c r="G68" s="15"/>
      <c r="H68" s="16"/>
      <c r="I68" s="16"/>
      <c r="P68" s="12">
        <f>F67+F68</f>
        <v>3467253.3000000003</v>
      </c>
    </row>
    <row r="69" spans="2:21" ht="13.5" thickBot="1">
      <c r="B69" s="22" t="s">
        <v>11</v>
      </c>
      <c r="C69" s="23"/>
      <c r="D69" s="24"/>
      <c r="E69" s="25"/>
      <c r="F69" s="151">
        <f>SUM(F67:F68)</f>
        <v>3467253.3000000003</v>
      </c>
      <c r="G69" s="15"/>
      <c r="H69" s="16"/>
      <c r="I69" s="16"/>
    </row>
    <row r="70" spans="2:21" ht="13.5" thickBot="1">
      <c r="B70" s="20" t="s">
        <v>4</v>
      </c>
      <c r="C70" s="19"/>
      <c r="D70" s="18"/>
      <c r="E70" s="19"/>
      <c r="F70" s="21">
        <f>F69*18/118</f>
        <v>528903.0457627119</v>
      </c>
      <c r="G70" s="15"/>
      <c r="H70" s="16"/>
      <c r="I70" s="16"/>
    </row>
    <row r="71" spans="2:21" ht="13.5" hidden="1" customHeight="1">
      <c r="B71" s="20" t="s">
        <v>38</v>
      </c>
      <c r="C71" s="19"/>
      <c r="D71" s="18">
        <v>87.2</v>
      </c>
      <c r="E71" s="19"/>
      <c r="F71" s="80">
        <f>F69/D71</f>
        <v>39762.079128440368</v>
      </c>
      <c r="G71" s="15"/>
      <c r="H71" s="16"/>
      <c r="I71" s="16"/>
    </row>
    <row r="72" spans="2:21" ht="25.5">
      <c r="B72" s="75" t="s">
        <v>57</v>
      </c>
      <c r="G72" s="15"/>
      <c r="H72" s="16"/>
      <c r="I72" s="16"/>
    </row>
    <row r="73" spans="2:21">
      <c r="B73" s="11" t="s">
        <v>37</v>
      </c>
      <c r="G73" s="15"/>
      <c r="H73" s="16"/>
      <c r="I73" s="16"/>
    </row>
    <row r="74" spans="2:21">
      <c r="B74" s="11" t="s">
        <v>109</v>
      </c>
      <c r="C74" s="57"/>
      <c r="D74" s="83"/>
      <c r="E74" s="125"/>
      <c r="F74" s="127"/>
      <c r="G74" s="15"/>
      <c r="H74" s="16"/>
      <c r="I74" s="16"/>
    </row>
    <row r="75" spans="2:21" ht="37.5" customHeight="1" thickBot="1">
      <c r="B75" s="152" t="s">
        <v>114</v>
      </c>
      <c r="C75" s="57"/>
      <c r="D75" s="83"/>
      <c r="E75" s="125"/>
      <c r="F75" s="127"/>
      <c r="G75" s="15"/>
      <c r="H75" s="16"/>
      <c r="I75" s="16"/>
    </row>
    <row r="76" spans="2:21">
      <c r="B76" s="96" t="s">
        <v>59</v>
      </c>
      <c r="C76" s="97">
        <v>1</v>
      </c>
      <c r="D76" s="98" t="s">
        <v>36</v>
      </c>
      <c r="E76" s="99">
        <f>D37*D38*1.1*1172*1.15*1.2*1.2</f>
        <v>960711.84000000008</v>
      </c>
      <c r="F76" s="100">
        <f t="shared" ref="F76:F79" si="1">C76*E76</f>
        <v>960711.84000000008</v>
      </c>
      <c r="G76" s="16"/>
      <c r="H76" s="11"/>
      <c r="I76" s="12"/>
      <c r="K76" s="11"/>
    </row>
    <row r="77" spans="2:21">
      <c r="B77" s="53" t="s">
        <v>60</v>
      </c>
      <c r="C77" s="50">
        <v>1</v>
      </c>
      <c r="D77" s="51" t="s">
        <v>21</v>
      </c>
      <c r="E77" s="52">
        <f>E67*0.08</f>
        <v>245734.77600000001</v>
      </c>
      <c r="F77" s="54">
        <f t="shared" si="1"/>
        <v>245734.77600000001</v>
      </c>
      <c r="G77" s="16"/>
      <c r="H77" s="11"/>
      <c r="I77" s="12"/>
      <c r="K77" s="11"/>
    </row>
    <row r="78" spans="2:21">
      <c r="B78" s="53" t="s">
        <v>112</v>
      </c>
      <c r="C78" s="50">
        <v>1</v>
      </c>
      <c r="D78" s="51" t="s">
        <v>21</v>
      </c>
      <c r="E78" s="52">
        <v>24840</v>
      </c>
      <c r="F78" s="54">
        <f t="shared" si="1"/>
        <v>24840</v>
      </c>
      <c r="G78" s="16"/>
      <c r="H78" s="11"/>
      <c r="I78" s="12"/>
      <c r="K78" s="11"/>
    </row>
    <row r="79" spans="2:21" ht="13.5" thickBot="1">
      <c r="B79" s="101" t="s">
        <v>61</v>
      </c>
      <c r="C79" s="102">
        <v>1</v>
      </c>
      <c r="D79" s="103" t="s">
        <v>36</v>
      </c>
      <c r="E79" s="104">
        <f>804307*0.55</f>
        <v>442368.85000000003</v>
      </c>
      <c r="F79" s="105">
        <f t="shared" si="1"/>
        <v>442368.85000000003</v>
      </c>
      <c r="G79" s="16"/>
      <c r="H79" s="11"/>
      <c r="I79" s="12"/>
      <c r="K79" s="11"/>
    </row>
    <row r="80" spans="2:21" ht="13.5" thickBot="1">
      <c r="F80" s="151">
        <f>SUM(F76:F79)</f>
        <v>1673655.4660000002</v>
      </c>
    </row>
    <row r="82" spans="2:21" ht="13.5" thickBot="1">
      <c r="B82" s="201" t="s">
        <v>111</v>
      </c>
    </row>
    <row r="83" spans="2:21" ht="25.5">
      <c r="B83" s="96" t="s">
        <v>105</v>
      </c>
      <c r="C83" s="97">
        <v>1</v>
      </c>
      <c r="D83" s="98" t="s">
        <v>5</v>
      </c>
      <c r="E83" s="99">
        <f>1.3*314154*0.6</f>
        <v>245040.12</v>
      </c>
      <c r="F83" s="100">
        <f>C83*E83</f>
        <v>245040.12</v>
      </c>
      <c r="G83" s="15"/>
      <c r="H83" s="16"/>
      <c r="I83" s="16"/>
    </row>
    <row r="84" spans="2:21" ht="25.5">
      <c r="B84" s="53" t="s">
        <v>106</v>
      </c>
      <c r="C84" s="50">
        <v>1</v>
      </c>
      <c r="D84" s="51" t="s">
        <v>5</v>
      </c>
      <c r="E84" s="52">
        <f>0.9*451654*0.6</f>
        <v>243893.16</v>
      </c>
      <c r="F84" s="54">
        <f>C84*E84</f>
        <v>243893.16</v>
      </c>
      <c r="G84" s="15"/>
      <c r="H84" s="16"/>
      <c r="I84" s="16"/>
    </row>
    <row r="85" spans="2:21" ht="13.5" thickBot="1">
      <c r="B85" s="101" t="s">
        <v>108</v>
      </c>
      <c r="C85" s="102">
        <v>1</v>
      </c>
      <c r="D85" s="103" t="s">
        <v>36</v>
      </c>
      <c r="E85" s="104">
        <f>0.58*315151</f>
        <v>182787.58</v>
      </c>
      <c r="F85" s="105">
        <f>C85*E85</f>
        <v>182787.58</v>
      </c>
      <c r="G85" s="15"/>
      <c r="H85" s="16"/>
      <c r="I85" s="16"/>
    </row>
    <row r="87" spans="2:21" ht="13.5" thickBot="1"/>
    <row r="88" spans="2:21" ht="26.25" thickBot="1">
      <c r="B88" s="30" t="s">
        <v>115</v>
      </c>
      <c r="C88" s="31"/>
      <c r="D88" s="32"/>
      <c r="E88" s="32"/>
      <c r="F88" s="33"/>
      <c r="G88" s="15"/>
      <c r="H88" s="16"/>
      <c r="I88" s="16"/>
    </row>
    <row r="89" spans="2:21" ht="13.5" thickBot="1">
      <c r="B89" s="71"/>
      <c r="C89" s="72"/>
      <c r="D89" s="73"/>
      <c r="E89" s="73"/>
      <c r="F89" s="74"/>
      <c r="G89" s="15"/>
      <c r="H89" s="16"/>
      <c r="I89" s="16"/>
    </row>
    <row r="90" spans="2:21" ht="140.25">
      <c r="B90" s="96" t="s">
        <v>138</v>
      </c>
      <c r="C90" s="97">
        <v>1</v>
      </c>
      <c r="D90" s="98" t="s">
        <v>5</v>
      </c>
      <c r="E90" s="99">
        <f>2925414*0.67</f>
        <v>1960027.3800000001</v>
      </c>
      <c r="F90" s="100">
        <f t="shared" ref="F90:F91" si="2">C90*E90</f>
        <v>1960027.3800000001</v>
      </c>
      <c r="G90" s="15"/>
      <c r="H90" s="16"/>
      <c r="I90" s="16"/>
      <c r="T90" s="11">
        <f>E90*(30*15)/(28*58)</f>
        <v>543111.0350985222</v>
      </c>
      <c r="U90" s="11" t="s">
        <v>104</v>
      </c>
    </row>
    <row r="91" spans="2:21" ht="26.25" thickBot="1">
      <c r="B91" s="53" t="s">
        <v>135</v>
      </c>
      <c r="C91" s="50">
        <v>1</v>
      </c>
      <c r="D91" s="51" t="s">
        <v>36</v>
      </c>
      <c r="E91" s="52">
        <f>1.9*208194</f>
        <v>395568.6</v>
      </c>
      <c r="F91" s="54">
        <f t="shared" si="2"/>
        <v>395568.6</v>
      </c>
      <c r="G91" s="15"/>
      <c r="H91" s="16"/>
      <c r="I91" s="16"/>
      <c r="P91" s="12">
        <f>F90+F91</f>
        <v>2355595.98</v>
      </c>
    </row>
    <row r="92" spans="2:21" ht="13.5" thickBot="1">
      <c r="B92" s="22" t="s">
        <v>11</v>
      </c>
      <c r="C92" s="23"/>
      <c r="D92" s="24"/>
      <c r="E92" s="25"/>
      <c r="F92" s="151">
        <f>SUM(F90:F91)</f>
        <v>2355595.98</v>
      </c>
      <c r="G92" s="15"/>
      <c r="H92" s="16"/>
      <c r="I92" s="16"/>
    </row>
    <row r="93" spans="2:21" ht="13.5" thickBot="1">
      <c r="B93" s="20" t="s">
        <v>4</v>
      </c>
      <c r="C93" s="19"/>
      <c r="D93" s="18"/>
      <c r="E93" s="19"/>
      <c r="F93" s="21">
        <f>F92*18/118</f>
        <v>359328.20033898304</v>
      </c>
      <c r="G93" s="15"/>
      <c r="H93" s="16"/>
      <c r="I93" s="16"/>
    </row>
    <row r="94" spans="2:21" ht="13.5" hidden="1" customHeight="1">
      <c r="B94" s="20" t="s">
        <v>38</v>
      </c>
      <c r="C94" s="19"/>
      <c r="D94" s="18">
        <v>87.2</v>
      </c>
      <c r="E94" s="19"/>
      <c r="F94" s="80">
        <f>F92/D94</f>
        <v>27013.715366972476</v>
      </c>
      <c r="G94" s="15"/>
      <c r="H94" s="16"/>
      <c r="I94" s="16"/>
    </row>
    <row r="95" spans="2:21" ht="25.5">
      <c r="B95" s="75" t="s">
        <v>57</v>
      </c>
      <c r="G95" s="15"/>
      <c r="H95" s="16"/>
      <c r="I95" s="16"/>
    </row>
    <row r="96" spans="2:21">
      <c r="B96" s="11" t="s">
        <v>37</v>
      </c>
      <c r="G96" s="15"/>
      <c r="H96" s="16"/>
      <c r="I96" s="16"/>
    </row>
    <row r="97" spans="2:9">
      <c r="B97" s="11" t="s">
        <v>109</v>
      </c>
      <c r="C97" s="57"/>
      <c r="D97" s="83"/>
      <c r="E97" s="125"/>
      <c r="F97" s="127"/>
      <c r="G97" s="15"/>
      <c r="H97" s="16"/>
      <c r="I97" s="16"/>
    </row>
  </sheetData>
  <mergeCells count="26">
    <mergeCell ref="G54:H54"/>
    <mergeCell ref="C28:D28"/>
    <mergeCell ref="E28:F28"/>
    <mergeCell ref="B30:F30"/>
    <mergeCell ref="B34:F34"/>
    <mergeCell ref="C52:D52"/>
    <mergeCell ref="G52:H52"/>
    <mergeCell ref="E53:F53"/>
    <mergeCell ref="C54:D54"/>
    <mergeCell ref="B33:F33"/>
    <mergeCell ref="C23:F23"/>
    <mergeCell ref="B24:D24"/>
    <mergeCell ref="B25:F25"/>
    <mergeCell ref="B26:F26"/>
    <mergeCell ref="B8:F8"/>
    <mergeCell ref="B10:F10"/>
    <mergeCell ref="C11:D11"/>
    <mergeCell ref="D12:F12"/>
    <mergeCell ref="C13:D13"/>
    <mergeCell ref="B19:F19"/>
    <mergeCell ref="B6:F6"/>
    <mergeCell ref="C1:F1"/>
    <mergeCell ref="C3:F3"/>
    <mergeCell ref="B4:F4"/>
    <mergeCell ref="C5:D5"/>
    <mergeCell ref="E5:F5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7"/>
  <sheetViews>
    <sheetView topLeftCell="A40" zoomScaleNormal="100" zoomScaleSheetLayoutView="100" workbookViewId="0">
      <selection activeCell="C54" sqref="C54:D54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0.7109375" style="12" customWidth="1"/>
    <col min="6" max="6" width="12.42578125" style="12" customWidth="1"/>
    <col min="7" max="7" width="8.7109375" style="144" customWidth="1"/>
    <col min="8" max="8" width="8.7109375" style="13" customWidth="1"/>
    <col min="9" max="9" width="6.85546875" style="13" customWidth="1"/>
    <col min="10" max="10" width="9.140625" style="11" customWidth="1"/>
    <col min="11" max="11" width="11.7109375" style="12" customWidth="1"/>
    <col min="12" max="12" width="9.140625" style="11" customWidth="1"/>
    <col min="13" max="13" width="12.140625" style="11" customWidth="1"/>
    <col min="14" max="15" width="9.140625" style="11" customWidth="1"/>
    <col min="16" max="16" width="11.28515625" style="11" hidden="1" customWidth="1"/>
    <col min="17" max="17" width="9.140625" style="11" hidden="1" customWidth="1"/>
    <col min="18" max="18" width="3" style="11" hidden="1" customWidth="1"/>
    <col min="19" max="19" width="0" style="11" hidden="1" customWidth="1"/>
    <col min="20" max="22" width="9.140625" style="11" hidden="1" customWidth="1"/>
    <col min="23" max="24" width="0" style="11" hidden="1" customWidth="1"/>
    <col min="25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132"/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139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127"/>
      <c r="D9" s="127"/>
      <c r="E9" s="127"/>
      <c r="F9" s="127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125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125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125"/>
      <c r="F15" s="34"/>
      <c r="G15" s="15"/>
      <c r="H15" s="16"/>
      <c r="I15" s="16"/>
    </row>
    <row r="16" spans="1:11" hidden="1">
      <c r="B16" s="17" t="s">
        <v>10</v>
      </c>
      <c r="C16" s="43"/>
      <c r="D16" s="126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131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131"/>
      <c r="C20" s="46"/>
      <c r="D20" s="15"/>
      <c r="E20" s="55"/>
      <c r="F20" s="27"/>
      <c r="G20" s="15"/>
      <c r="H20" s="16"/>
      <c r="I20" s="16"/>
    </row>
    <row r="21" spans="1:11">
      <c r="B21" s="131"/>
      <c r="C21" s="46"/>
      <c r="D21" s="15"/>
      <c r="E21" s="55"/>
      <c r="F21" s="27"/>
      <c r="G21" s="15"/>
      <c r="H21" s="16"/>
      <c r="I21" s="16"/>
    </row>
    <row r="22" spans="1:11" ht="148.5" customHeight="1">
      <c r="B22" s="131"/>
      <c r="C22" s="46"/>
      <c r="D22" s="35"/>
      <c r="E22" s="4"/>
      <c r="F22" s="27"/>
      <c r="G22" s="15"/>
      <c r="H22" s="16"/>
      <c r="I22" s="16"/>
    </row>
    <row r="23" spans="1:11" ht="175.5" customHeight="1">
      <c r="B23" s="131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ht="13.5" thickBot="1"/>
    <row r="28" spans="1:11" s="78" customFormat="1" ht="34.5" customHeight="1" thickBot="1">
      <c r="A28" s="76"/>
      <c r="B28" s="92" t="s">
        <v>80</v>
      </c>
      <c r="C28" s="282"/>
      <c r="D28" s="283"/>
      <c r="E28" s="284"/>
      <c r="F28" s="285"/>
      <c r="G28" s="145"/>
      <c r="H28" s="77"/>
      <c r="I28" s="77"/>
      <c r="K28" s="79"/>
    </row>
    <row r="29" spans="1:11" s="78" customFormat="1" ht="23.25">
      <c r="A29" s="76"/>
      <c r="B29" s="129" t="s">
        <v>62</v>
      </c>
      <c r="C29" s="130"/>
      <c r="D29" s="130"/>
      <c r="E29" s="130"/>
      <c r="F29" s="130"/>
      <c r="G29" s="145"/>
      <c r="H29" s="77"/>
      <c r="I29" s="77"/>
      <c r="K29" s="79"/>
    </row>
    <row r="30" spans="1:11" s="78" customFormat="1" ht="122.25" customHeight="1" thickBot="1">
      <c r="A30" s="76"/>
      <c r="B30" s="287" t="s">
        <v>140</v>
      </c>
      <c r="C30" s="288"/>
      <c r="D30" s="288"/>
      <c r="E30" s="288"/>
      <c r="F30" s="288"/>
      <c r="G30" s="145"/>
      <c r="H30" s="77"/>
      <c r="I30" s="77"/>
      <c r="K30" s="79"/>
    </row>
    <row r="31" spans="1:11" s="78" customFormat="1" ht="24" thickBot="1">
      <c r="A31" s="76"/>
      <c r="B31" s="95" t="s">
        <v>74</v>
      </c>
      <c r="C31" s="93"/>
      <c r="D31" s="93"/>
      <c r="E31" s="93"/>
      <c r="F31" s="94"/>
      <c r="G31" s="145"/>
      <c r="H31" s="77"/>
      <c r="I31" s="77"/>
      <c r="K31" s="79"/>
    </row>
    <row r="32" spans="1:11" ht="16.5" thickBot="1">
      <c r="B32" s="81" t="s">
        <v>40</v>
      </c>
      <c r="C32" s="129"/>
      <c r="D32" s="14"/>
      <c r="E32" s="14"/>
      <c r="F32" s="82"/>
      <c r="G32" s="15"/>
      <c r="H32" s="16"/>
      <c r="I32" s="16"/>
    </row>
    <row r="33" spans="2:9" ht="57.75" customHeight="1" thickBot="1">
      <c r="B33" s="289" t="s">
        <v>92</v>
      </c>
      <c r="C33" s="290"/>
      <c r="D33" s="290"/>
      <c r="E33" s="290"/>
      <c r="F33" s="291"/>
      <c r="G33" s="15"/>
      <c r="H33" s="16"/>
      <c r="I33" s="16"/>
    </row>
    <row r="34" spans="2:9" ht="56.25" hidden="1" customHeight="1">
      <c r="B34" s="292" t="s">
        <v>58</v>
      </c>
      <c r="C34" s="293"/>
      <c r="D34" s="293"/>
      <c r="E34" s="293"/>
      <c r="F34" s="294"/>
      <c r="G34" s="15"/>
      <c r="H34" s="16"/>
      <c r="I34" s="16"/>
    </row>
    <row r="35" spans="2:9">
      <c r="B35" s="90" t="s">
        <v>45</v>
      </c>
      <c r="C35" s="56"/>
      <c r="D35" s="86" t="s">
        <v>64</v>
      </c>
      <c r="E35" s="37"/>
      <c r="F35" s="146"/>
      <c r="G35" s="55"/>
      <c r="H35" s="4"/>
      <c r="I35" s="16"/>
    </row>
    <row r="36" spans="2:9">
      <c r="B36" s="17" t="s">
        <v>46</v>
      </c>
      <c r="C36" s="57"/>
      <c r="D36" s="83"/>
      <c r="E36" s="83"/>
      <c r="F36" s="85"/>
      <c r="G36" s="83"/>
      <c r="H36" s="4"/>
      <c r="I36" s="16"/>
    </row>
    <row r="37" spans="2:9">
      <c r="B37" s="17" t="s">
        <v>47</v>
      </c>
      <c r="C37" s="57" t="s">
        <v>48</v>
      </c>
      <c r="D37" s="87">
        <v>30</v>
      </c>
      <c r="E37" s="87"/>
      <c r="F37" s="58"/>
      <c r="G37" s="87"/>
      <c r="H37" s="4"/>
      <c r="I37" s="16"/>
    </row>
    <row r="38" spans="2:9" ht="13.5" thickBot="1">
      <c r="B38" s="17" t="s">
        <v>49</v>
      </c>
      <c r="C38" s="57" t="s">
        <v>48</v>
      </c>
      <c r="D38" s="87">
        <v>20</v>
      </c>
      <c r="E38" s="87"/>
      <c r="F38" s="58"/>
      <c r="G38" s="87"/>
      <c r="H38" s="4"/>
      <c r="I38" s="16"/>
    </row>
    <row r="39" spans="2:9" ht="25.5">
      <c r="B39" s="199" t="s">
        <v>50</v>
      </c>
      <c r="C39" s="157" t="s">
        <v>25</v>
      </c>
      <c r="D39" s="195">
        <f>0.225*(D37*D38)</f>
        <v>135</v>
      </c>
      <c r="E39" s="195"/>
      <c r="F39" s="196"/>
      <c r="G39" s="87"/>
      <c r="H39" s="4"/>
      <c r="I39" s="16"/>
    </row>
    <row r="40" spans="2:9" ht="13.5" thickBot="1">
      <c r="B40" s="200" t="s">
        <v>51</v>
      </c>
      <c r="C40" s="162" t="s">
        <v>25</v>
      </c>
      <c r="D40" s="197">
        <f>0.15*(D37*D38)</f>
        <v>90</v>
      </c>
      <c r="E40" s="197"/>
      <c r="F40" s="198"/>
      <c r="G40" s="121"/>
      <c r="H40" s="4"/>
      <c r="I40" s="16"/>
    </row>
    <row r="41" spans="2:9" ht="25.5">
      <c r="B41" s="17" t="s">
        <v>52</v>
      </c>
      <c r="C41" s="57"/>
      <c r="D41" s="121" t="s">
        <v>65</v>
      </c>
      <c r="E41" s="87"/>
      <c r="F41" s="58"/>
      <c r="G41" s="87"/>
      <c r="H41" s="4"/>
      <c r="I41" s="16"/>
    </row>
    <row r="42" spans="2:9">
      <c r="B42" s="17" t="s">
        <v>93</v>
      </c>
      <c r="C42" s="57" t="s">
        <v>94</v>
      </c>
      <c r="D42" s="121">
        <v>3.2</v>
      </c>
      <c r="E42" s="87"/>
      <c r="F42" s="58"/>
      <c r="G42" s="87"/>
      <c r="H42" s="4"/>
      <c r="I42" s="16"/>
    </row>
    <row r="43" spans="2:9">
      <c r="B43" s="17" t="s">
        <v>95</v>
      </c>
      <c r="C43" s="57" t="s">
        <v>96</v>
      </c>
      <c r="D43" s="121">
        <v>1090</v>
      </c>
      <c r="E43" s="87"/>
      <c r="F43" s="58"/>
      <c r="G43" s="87"/>
      <c r="H43" s="4"/>
      <c r="I43" s="16"/>
    </row>
    <row r="44" spans="2:9">
      <c r="B44" s="17" t="s">
        <v>53</v>
      </c>
      <c r="C44" s="57" t="s">
        <v>24</v>
      </c>
      <c r="D44" s="87">
        <v>-8</v>
      </c>
      <c r="E44" s="87"/>
      <c r="F44" s="58"/>
      <c r="G44" s="87"/>
      <c r="H44" s="4"/>
      <c r="I44" s="16"/>
    </row>
    <row r="45" spans="2:9" ht="12.75" hidden="1" customHeight="1">
      <c r="B45" s="17" t="s">
        <v>54</v>
      </c>
      <c r="C45" s="57" t="s">
        <v>24</v>
      </c>
      <c r="D45" s="87">
        <v>-13</v>
      </c>
      <c r="E45" s="87"/>
      <c r="F45" s="58"/>
      <c r="G45" s="87"/>
      <c r="H45" s="4"/>
      <c r="I45" s="16"/>
    </row>
    <row r="46" spans="2:9" ht="13.5" hidden="1" customHeight="1">
      <c r="B46" s="17" t="s">
        <v>55</v>
      </c>
      <c r="C46" s="57" t="s">
        <v>26</v>
      </c>
      <c r="D46" s="83">
        <f>D39/(D43*D42*(D44-D45))*3600</f>
        <v>27.866972477064223</v>
      </c>
      <c r="E46" s="83"/>
      <c r="F46" s="85"/>
      <c r="G46" s="83"/>
      <c r="H46" s="4"/>
      <c r="I46" s="16"/>
    </row>
    <row r="47" spans="2:9">
      <c r="B47" s="17" t="s">
        <v>56</v>
      </c>
      <c r="C47" s="57" t="s">
        <v>48</v>
      </c>
      <c r="D47" s="83">
        <v>20</v>
      </c>
      <c r="E47" s="83"/>
      <c r="F47" s="85"/>
      <c r="G47" s="83"/>
      <c r="H47" s="4"/>
      <c r="I47" s="16"/>
    </row>
    <row r="48" spans="2:9">
      <c r="B48" s="17" t="s">
        <v>97</v>
      </c>
      <c r="C48" s="57" t="s">
        <v>98</v>
      </c>
      <c r="D48" s="83">
        <f>SQRT(4*D46/(3.14*1.5*3600))*1000</f>
        <v>81.079896577000312</v>
      </c>
      <c r="E48" s="83"/>
      <c r="F48" s="85"/>
      <c r="G48" s="83"/>
      <c r="H48" s="4"/>
      <c r="I48" s="16"/>
    </row>
    <row r="49" spans="2:9">
      <c r="B49" s="17"/>
      <c r="C49" s="57"/>
      <c r="D49" s="83"/>
      <c r="E49" s="83"/>
      <c r="F49" s="85"/>
      <c r="G49" s="83"/>
      <c r="H49" s="4"/>
      <c r="I49" s="16"/>
    </row>
    <row r="50" spans="2:9">
      <c r="B50" s="17"/>
      <c r="C50" s="57"/>
      <c r="D50" s="83"/>
      <c r="E50" s="83"/>
      <c r="F50" s="85"/>
      <c r="G50" s="83"/>
      <c r="H50" s="4"/>
      <c r="I50" s="16"/>
    </row>
    <row r="51" spans="2:9">
      <c r="B51" s="147" t="s">
        <v>99</v>
      </c>
      <c r="C51" s="59"/>
      <c r="D51" s="35"/>
      <c r="E51" s="84"/>
      <c r="F51" s="64"/>
      <c r="G51" s="59"/>
      <c r="H51" s="35"/>
      <c r="I51" s="16"/>
    </row>
    <row r="52" spans="2:9">
      <c r="B52" s="66" t="s">
        <v>6</v>
      </c>
      <c r="C52" s="295" t="s">
        <v>7</v>
      </c>
      <c r="D52" s="295"/>
      <c r="E52" s="55"/>
      <c r="F52" s="64"/>
      <c r="G52" s="295"/>
      <c r="H52" s="295"/>
      <c r="I52" s="16"/>
    </row>
    <row r="53" spans="2:9">
      <c r="B53" s="38" t="s">
        <v>8</v>
      </c>
      <c r="C53" s="67">
        <v>1</v>
      </c>
      <c r="D53" s="60" t="s">
        <v>141</v>
      </c>
      <c r="E53" s="274" t="s">
        <v>100</v>
      </c>
      <c r="F53" s="275"/>
      <c r="G53" s="67"/>
      <c r="H53" s="60"/>
      <c r="I53" s="16"/>
    </row>
    <row r="54" spans="2:9">
      <c r="B54" s="38" t="s">
        <v>101</v>
      </c>
      <c r="C54" s="277">
        <v>129</v>
      </c>
      <c r="D54" s="286"/>
      <c r="E54" s="125"/>
      <c r="F54" s="34"/>
      <c r="G54" s="277"/>
      <c r="H54" s="286"/>
      <c r="I54" s="16"/>
    </row>
    <row r="55" spans="2:9">
      <c r="B55" s="17" t="s">
        <v>9</v>
      </c>
      <c r="C55" s="57"/>
      <c r="D55" s="39" t="s">
        <v>102</v>
      </c>
      <c r="E55" s="125"/>
      <c r="F55" s="34"/>
      <c r="G55" s="57"/>
      <c r="H55" s="39"/>
      <c r="I55" s="16"/>
    </row>
    <row r="56" spans="2:9">
      <c r="B56" s="17" t="s">
        <v>10</v>
      </c>
      <c r="C56" s="57"/>
      <c r="D56" s="39">
        <v>79</v>
      </c>
      <c r="E56" s="125"/>
      <c r="F56" s="34"/>
      <c r="G56" s="57"/>
      <c r="H56" s="39"/>
      <c r="I56" s="16"/>
    </row>
    <row r="57" spans="2:9">
      <c r="B57" s="17" t="s">
        <v>27</v>
      </c>
      <c r="C57" s="57"/>
      <c r="D57" s="126">
        <f>(C54+D56)*1.21*1.15</f>
        <v>289.43199999999996</v>
      </c>
      <c r="E57" s="40"/>
      <c r="F57" s="34"/>
      <c r="G57" s="57"/>
      <c r="H57" s="126"/>
      <c r="I57" s="16"/>
    </row>
    <row r="58" spans="2:9">
      <c r="B58" s="68" t="s">
        <v>28</v>
      </c>
      <c r="C58" s="61" t="s">
        <v>29</v>
      </c>
      <c r="D58" s="62" t="s">
        <v>30</v>
      </c>
      <c r="E58" s="62"/>
      <c r="F58" s="122"/>
      <c r="G58" s="61"/>
      <c r="H58" s="62"/>
      <c r="I58" s="16"/>
    </row>
    <row r="59" spans="2:9">
      <c r="B59" s="65" t="s">
        <v>31</v>
      </c>
      <c r="C59" s="63">
        <v>54</v>
      </c>
      <c r="D59" s="4">
        <v>54</v>
      </c>
      <c r="E59" s="4"/>
      <c r="F59" s="64"/>
      <c r="G59" s="63"/>
      <c r="H59" s="4"/>
      <c r="I59" s="16"/>
    </row>
    <row r="60" spans="2:9">
      <c r="B60" s="65" t="s">
        <v>32</v>
      </c>
      <c r="C60" s="63"/>
      <c r="D60" s="4">
        <v>42</v>
      </c>
      <c r="E60" s="4"/>
      <c r="F60" s="64"/>
      <c r="G60" s="63"/>
      <c r="H60" s="4"/>
      <c r="I60" s="16"/>
    </row>
    <row r="61" spans="2:9">
      <c r="B61" s="65" t="s">
        <v>33</v>
      </c>
      <c r="C61" s="59"/>
      <c r="D61" s="35">
        <v>35</v>
      </c>
      <c r="E61" s="84"/>
      <c r="F61" s="64"/>
      <c r="G61" s="59"/>
      <c r="H61" s="35"/>
      <c r="I61" s="16"/>
    </row>
    <row r="62" spans="2:9" ht="13.5" thickBot="1">
      <c r="B62" s="41" t="s">
        <v>34</v>
      </c>
      <c r="C62" s="69">
        <v>76</v>
      </c>
      <c r="D62" s="70" t="s">
        <v>103</v>
      </c>
      <c r="E62" s="24"/>
      <c r="F62" s="29"/>
      <c r="G62" s="63"/>
      <c r="H62" s="35"/>
      <c r="I62" s="16"/>
    </row>
    <row r="63" spans="2:9">
      <c r="B63" s="17"/>
      <c r="C63" s="57"/>
      <c r="D63" s="83"/>
      <c r="E63" s="125"/>
      <c r="F63" s="34"/>
      <c r="G63" s="15"/>
      <c r="H63" s="16"/>
      <c r="I63" s="16"/>
    </row>
    <row r="64" spans="2:9" ht="13.5" thickBot="1">
      <c r="B64" s="91"/>
      <c r="C64" s="88"/>
      <c r="D64" s="89"/>
      <c r="E64" s="148"/>
      <c r="F64" s="149"/>
      <c r="G64" s="15"/>
      <c r="H64" s="16"/>
      <c r="I64" s="16"/>
    </row>
    <row r="65" spans="2:21" ht="13.5" thickBot="1">
      <c r="B65" s="30" t="s">
        <v>113</v>
      </c>
      <c r="C65" s="31"/>
      <c r="D65" s="32"/>
      <c r="E65" s="32"/>
      <c r="F65" s="33"/>
      <c r="G65" s="15"/>
      <c r="H65" s="16"/>
      <c r="I65" s="16"/>
    </row>
    <row r="66" spans="2:21" ht="13.5" thickBot="1">
      <c r="B66" s="71"/>
      <c r="C66" s="72"/>
      <c r="D66" s="73"/>
      <c r="E66" s="73"/>
      <c r="F66" s="74"/>
      <c r="G66" s="15"/>
      <c r="H66" s="16"/>
      <c r="I66" s="16"/>
    </row>
    <row r="67" spans="2:21" ht="127.5">
      <c r="B67" s="96" t="s">
        <v>142</v>
      </c>
      <c r="C67" s="97">
        <v>1</v>
      </c>
      <c r="D67" s="98" t="s">
        <v>5</v>
      </c>
      <c r="E67" s="99">
        <f>2925414*1.15</f>
        <v>3364226.0999999996</v>
      </c>
      <c r="F67" s="100">
        <f t="shared" ref="F67:F68" si="0">C67*E67</f>
        <v>3364226.0999999996</v>
      </c>
      <c r="G67" s="15"/>
      <c r="H67" s="16"/>
      <c r="I67" s="16"/>
      <c r="T67" s="11">
        <f>E67*(30*15)/(28*58)</f>
        <v>932205.50800492591</v>
      </c>
      <c r="U67" s="11" t="s">
        <v>104</v>
      </c>
    </row>
    <row r="68" spans="2:21" ht="26.25" thickBot="1">
      <c r="B68" s="53" t="s">
        <v>135</v>
      </c>
      <c r="C68" s="50">
        <v>1</v>
      </c>
      <c r="D68" s="51" t="s">
        <v>36</v>
      </c>
      <c r="E68" s="52">
        <f>1.9*208194</f>
        <v>395568.6</v>
      </c>
      <c r="F68" s="54">
        <f t="shared" si="0"/>
        <v>395568.6</v>
      </c>
      <c r="G68" s="15"/>
      <c r="H68" s="16"/>
      <c r="I68" s="16"/>
      <c r="P68" s="12">
        <f>F67+F68</f>
        <v>3759794.6999999997</v>
      </c>
    </row>
    <row r="69" spans="2:21" ht="13.5" thickBot="1">
      <c r="B69" s="22" t="s">
        <v>11</v>
      </c>
      <c r="C69" s="23"/>
      <c r="D69" s="24"/>
      <c r="E69" s="25"/>
      <c r="F69" s="151">
        <f>SUM(F67:F68)</f>
        <v>3759794.6999999997</v>
      </c>
      <c r="G69" s="15"/>
      <c r="H69" s="16"/>
      <c r="I69" s="16"/>
    </row>
    <row r="70" spans="2:21" ht="13.5" thickBot="1">
      <c r="B70" s="20" t="s">
        <v>4</v>
      </c>
      <c r="C70" s="19"/>
      <c r="D70" s="18"/>
      <c r="E70" s="19"/>
      <c r="F70" s="21">
        <f>F69*18/118</f>
        <v>573528.0050847457</v>
      </c>
      <c r="G70" s="15"/>
      <c r="H70" s="16"/>
      <c r="I70" s="16"/>
    </row>
    <row r="71" spans="2:21" ht="13.5" hidden="1" customHeight="1">
      <c r="B71" s="20" t="s">
        <v>38</v>
      </c>
      <c r="C71" s="19"/>
      <c r="D71" s="18">
        <v>87.2</v>
      </c>
      <c r="E71" s="19"/>
      <c r="F71" s="80">
        <f>F69/D71</f>
        <v>43116.911697247699</v>
      </c>
      <c r="G71" s="15"/>
      <c r="H71" s="16"/>
      <c r="I71" s="16"/>
    </row>
    <row r="72" spans="2:21" ht="25.5">
      <c r="B72" s="75" t="s">
        <v>57</v>
      </c>
      <c r="G72" s="15"/>
      <c r="H72" s="16"/>
      <c r="I72" s="16"/>
    </row>
    <row r="73" spans="2:21">
      <c r="B73" s="11" t="s">
        <v>37</v>
      </c>
      <c r="G73" s="15"/>
      <c r="H73" s="16"/>
      <c r="I73" s="16"/>
    </row>
    <row r="74" spans="2:21">
      <c r="B74" s="11" t="s">
        <v>109</v>
      </c>
      <c r="C74" s="57"/>
      <c r="D74" s="83"/>
      <c r="E74" s="125"/>
      <c r="F74" s="127"/>
      <c r="G74" s="15"/>
      <c r="H74" s="16"/>
      <c r="I74" s="16"/>
    </row>
    <row r="75" spans="2:21" ht="37.5" customHeight="1" thickBot="1">
      <c r="B75" s="152" t="s">
        <v>114</v>
      </c>
      <c r="C75" s="57"/>
      <c r="D75" s="83"/>
      <c r="E75" s="125"/>
      <c r="F75" s="127"/>
      <c r="G75" s="15"/>
      <c r="H75" s="16"/>
      <c r="I75" s="16"/>
    </row>
    <row r="76" spans="2:21">
      <c r="B76" s="96" t="s">
        <v>59</v>
      </c>
      <c r="C76" s="97">
        <v>1</v>
      </c>
      <c r="D76" s="98" t="s">
        <v>36</v>
      </c>
      <c r="E76" s="99">
        <f>D37*D38*1.1*1172*1.15*1.2*1.2</f>
        <v>1280949.1199999999</v>
      </c>
      <c r="F76" s="100">
        <f t="shared" ref="F76:F79" si="1">C76*E76</f>
        <v>1280949.1199999999</v>
      </c>
      <c r="G76" s="16"/>
      <c r="H76" s="11"/>
      <c r="I76" s="12"/>
      <c r="K76" s="11"/>
    </row>
    <row r="77" spans="2:21">
      <c r="B77" s="53" t="s">
        <v>60</v>
      </c>
      <c r="C77" s="50">
        <v>1</v>
      </c>
      <c r="D77" s="51" t="s">
        <v>21</v>
      </c>
      <c r="E77" s="52">
        <f>E67*0.08</f>
        <v>269138.08799999999</v>
      </c>
      <c r="F77" s="54">
        <f t="shared" si="1"/>
        <v>269138.08799999999</v>
      </c>
      <c r="G77" s="16"/>
      <c r="H77" s="11"/>
      <c r="I77" s="12"/>
      <c r="K77" s="11"/>
    </row>
    <row r="78" spans="2:21">
      <c r="B78" s="53" t="s">
        <v>112</v>
      </c>
      <c r="C78" s="50">
        <v>1</v>
      </c>
      <c r="D78" s="51" t="s">
        <v>21</v>
      </c>
      <c r="E78" s="52">
        <v>24840</v>
      </c>
      <c r="F78" s="54">
        <f t="shared" si="1"/>
        <v>24840</v>
      </c>
      <c r="G78" s="16"/>
      <c r="H78" s="11"/>
      <c r="I78" s="12"/>
      <c r="K78" s="11"/>
    </row>
    <row r="79" spans="2:21" ht="13.5" thickBot="1">
      <c r="B79" s="101" t="s">
        <v>61</v>
      </c>
      <c r="C79" s="102">
        <v>1</v>
      </c>
      <c r="D79" s="103" t="s">
        <v>36</v>
      </c>
      <c r="E79" s="104">
        <f>804307*0.55</f>
        <v>442368.85000000003</v>
      </c>
      <c r="F79" s="105">
        <f t="shared" si="1"/>
        <v>442368.85000000003</v>
      </c>
      <c r="G79" s="16"/>
      <c r="H79" s="11"/>
      <c r="I79" s="12"/>
      <c r="K79" s="11"/>
    </row>
    <row r="80" spans="2:21" ht="13.5" thickBot="1">
      <c r="F80" s="151">
        <f>SUM(F76:F79)</f>
        <v>2017296.058</v>
      </c>
    </row>
    <row r="82" spans="2:21" ht="13.5" thickBot="1">
      <c r="B82" s="201" t="s">
        <v>111</v>
      </c>
    </row>
    <row r="83" spans="2:21" ht="25.5">
      <c r="B83" s="96" t="s">
        <v>105</v>
      </c>
      <c r="C83" s="97">
        <v>1</v>
      </c>
      <c r="D83" s="98" t="s">
        <v>5</v>
      </c>
      <c r="E83" s="99">
        <f>1.3*314154*0.6</f>
        <v>245040.12</v>
      </c>
      <c r="F83" s="100">
        <f>C83*E83</f>
        <v>245040.12</v>
      </c>
      <c r="G83" s="15"/>
      <c r="H83" s="16"/>
      <c r="I83" s="16"/>
    </row>
    <row r="84" spans="2:21" ht="25.5">
      <c r="B84" s="53" t="s">
        <v>106</v>
      </c>
      <c r="C84" s="50">
        <v>1</v>
      </c>
      <c r="D84" s="51" t="s">
        <v>5</v>
      </c>
      <c r="E84" s="52">
        <f>0.9*451654*0.6</f>
        <v>243893.16</v>
      </c>
      <c r="F84" s="54">
        <f>C84*E84</f>
        <v>243893.16</v>
      </c>
      <c r="G84" s="15"/>
      <c r="H84" s="16"/>
      <c r="I84" s="16"/>
    </row>
    <row r="85" spans="2:21" ht="13.5" thickBot="1">
      <c r="B85" s="101" t="s">
        <v>108</v>
      </c>
      <c r="C85" s="102">
        <v>1</v>
      </c>
      <c r="D85" s="103" t="s">
        <v>36</v>
      </c>
      <c r="E85" s="104">
        <f>0.58*315151</f>
        <v>182787.58</v>
      </c>
      <c r="F85" s="105">
        <f>C85*E85</f>
        <v>182787.58</v>
      </c>
      <c r="G85" s="15"/>
      <c r="H85" s="16"/>
      <c r="I85" s="16"/>
    </row>
    <row r="87" spans="2:21" ht="13.5" thickBot="1"/>
    <row r="88" spans="2:21" ht="26.25" thickBot="1">
      <c r="B88" s="30" t="s">
        <v>115</v>
      </c>
      <c r="C88" s="31"/>
      <c r="D88" s="32"/>
      <c r="E88" s="32"/>
      <c r="F88" s="33"/>
      <c r="G88" s="15"/>
      <c r="H88" s="16"/>
      <c r="I88" s="16"/>
    </row>
    <row r="89" spans="2:21" ht="13.5" thickBot="1">
      <c r="B89" s="71"/>
      <c r="C89" s="72"/>
      <c r="D89" s="73"/>
      <c r="E89" s="73"/>
      <c r="F89" s="74"/>
      <c r="G89" s="15"/>
      <c r="H89" s="16"/>
      <c r="I89" s="16"/>
    </row>
    <row r="90" spans="2:21" ht="140.25">
      <c r="B90" s="96" t="s">
        <v>143</v>
      </c>
      <c r="C90" s="97">
        <v>1</v>
      </c>
      <c r="D90" s="98" t="s">
        <v>5</v>
      </c>
      <c r="E90" s="99">
        <f>2925414*1.15*0.65</f>
        <v>2186746.9649999999</v>
      </c>
      <c r="F90" s="100">
        <f t="shared" ref="F90:F91" si="2">C90*E90</f>
        <v>2186746.9649999999</v>
      </c>
      <c r="G90" s="15"/>
      <c r="H90" s="16"/>
      <c r="I90" s="16"/>
      <c r="T90" s="11">
        <f>E90*(30*15)/(28*58)</f>
        <v>605933.58020320185</v>
      </c>
      <c r="U90" s="11" t="s">
        <v>104</v>
      </c>
    </row>
    <row r="91" spans="2:21" ht="26.25" thickBot="1">
      <c r="B91" s="53" t="s">
        <v>135</v>
      </c>
      <c r="C91" s="50">
        <v>1</v>
      </c>
      <c r="D91" s="51" t="s">
        <v>36</v>
      </c>
      <c r="E91" s="52">
        <f>1.9*208194</f>
        <v>395568.6</v>
      </c>
      <c r="F91" s="54">
        <f t="shared" si="2"/>
        <v>395568.6</v>
      </c>
      <c r="G91" s="15"/>
      <c r="H91" s="16"/>
      <c r="I91" s="16"/>
      <c r="P91" s="12">
        <f>F90+F91</f>
        <v>2582315.5649999999</v>
      </c>
    </row>
    <row r="92" spans="2:21" ht="13.5" thickBot="1">
      <c r="B92" s="22" t="s">
        <v>11</v>
      </c>
      <c r="C92" s="23"/>
      <c r="D92" s="24"/>
      <c r="E92" s="25"/>
      <c r="F92" s="151">
        <f>SUM(F90:F91)</f>
        <v>2582315.5649999999</v>
      </c>
      <c r="G92" s="15"/>
      <c r="H92" s="16"/>
      <c r="I92" s="16"/>
    </row>
    <row r="93" spans="2:21" ht="13.5" thickBot="1">
      <c r="B93" s="20" t="s">
        <v>4</v>
      </c>
      <c r="C93" s="19"/>
      <c r="D93" s="18"/>
      <c r="E93" s="19"/>
      <c r="F93" s="21">
        <f>F92*18/118</f>
        <v>393912.54381355934</v>
      </c>
      <c r="G93" s="15"/>
      <c r="H93" s="16"/>
      <c r="I93" s="16"/>
    </row>
    <row r="94" spans="2:21" ht="13.5" hidden="1" customHeight="1">
      <c r="B94" s="20" t="s">
        <v>38</v>
      </c>
      <c r="C94" s="19"/>
      <c r="D94" s="18">
        <v>87.2</v>
      </c>
      <c r="E94" s="19"/>
      <c r="F94" s="80">
        <f>F92/D94</f>
        <v>29613.710607798163</v>
      </c>
      <c r="G94" s="15"/>
      <c r="H94" s="16"/>
      <c r="I94" s="16"/>
    </row>
    <row r="95" spans="2:21" ht="25.5">
      <c r="B95" s="75" t="s">
        <v>57</v>
      </c>
      <c r="G95" s="15"/>
      <c r="H95" s="16"/>
      <c r="I95" s="16"/>
    </row>
    <row r="96" spans="2:21">
      <c r="B96" s="11" t="s">
        <v>37</v>
      </c>
      <c r="G96" s="15"/>
      <c r="H96" s="16"/>
      <c r="I96" s="16"/>
    </row>
    <row r="97" spans="2:9">
      <c r="B97" s="11" t="s">
        <v>109</v>
      </c>
      <c r="C97" s="57"/>
      <c r="D97" s="83"/>
      <c r="E97" s="125"/>
      <c r="F97" s="127"/>
      <c r="G97" s="15"/>
      <c r="H97" s="16"/>
      <c r="I97" s="16"/>
    </row>
  </sheetData>
  <mergeCells count="26">
    <mergeCell ref="C54:D54"/>
    <mergeCell ref="G54:H54"/>
    <mergeCell ref="B30:F30"/>
    <mergeCell ref="B33:F33"/>
    <mergeCell ref="B34:F34"/>
    <mergeCell ref="C52:D52"/>
    <mergeCell ref="G52:H52"/>
    <mergeCell ref="E53:F53"/>
    <mergeCell ref="C23:F23"/>
    <mergeCell ref="B24:D24"/>
    <mergeCell ref="B25:F25"/>
    <mergeCell ref="B26:F26"/>
    <mergeCell ref="C28:D28"/>
    <mergeCell ref="E28:F28"/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"/>
  <sheetViews>
    <sheetView tabSelected="1" topLeftCell="A36" zoomScaleNormal="100" zoomScaleSheetLayoutView="100" workbookViewId="0">
      <selection activeCell="J55" sqref="J55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2.5703125" style="12" customWidth="1"/>
    <col min="6" max="6" width="12.42578125" style="12" customWidth="1"/>
    <col min="7" max="7" width="6.85546875" style="13" customWidth="1"/>
    <col min="8" max="8" width="9.140625" style="11" customWidth="1"/>
    <col min="9" max="9" width="11.7109375" style="12" customWidth="1"/>
    <col min="10" max="10" width="9.140625" style="11" customWidth="1"/>
    <col min="11" max="11" width="12.140625" style="11" customWidth="1"/>
    <col min="12" max="16" width="9.140625" style="11" customWidth="1"/>
    <col min="17" max="16384" width="9.140625" style="11"/>
  </cols>
  <sheetData>
    <row r="1" spans="1:9" ht="35.25" customHeight="1">
      <c r="A1" s="6"/>
      <c r="B1" s="1"/>
      <c r="C1" s="256" t="s">
        <v>2</v>
      </c>
      <c r="D1" s="257"/>
      <c r="E1" s="257"/>
      <c r="F1" s="258"/>
    </row>
    <row r="2" spans="1:9" ht="15" customHeight="1">
      <c r="A2" s="6"/>
      <c r="B2" s="1"/>
      <c r="C2" s="3" t="s">
        <v>0</v>
      </c>
      <c r="D2" s="4"/>
      <c r="E2" s="3"/>
    </row>
    <row r="3" spans="1:9" s="2" customFormat="1" ht="19.5" customHeight="1">
      <c r="A3" s="7"/>
      <c r="B3" s="9" t="s">
        <v>1</v>
      </c>
      <c r="C3" s="259"/>
      <c r="D3" s="258"/>
      <c r="E3" s="258"/>
      <c r="F3" s="258"/>
      <c r="G3" s="14"/>
      <c r="I3" s="28"/>
    </row>
    <row r="4" spans="1:9" ht="12" customHeight="1">
      <c r="B4" s="260" t="s">
        <v>39</v>
      </c>
      <c r="C4" s="261"/>
      <c r="D4" s="261"/>
      <c r="E4" s="261"/>
      <c r="F4" s="261"/>
    </row>
    <row r="5" spans="1:9" ht="42.75" customHeight="1">
      <c r="B5" s="108"/>
      <c r="C5" s="261" t="s">
        <v>12</v>
      </c>
      <c r="D5" s="262"/>
      <c r="E5" s="263">
        <f ca="1">TODAY()</f>
        <v>43430</v>
      </c>
      <c r="F5" s="262"/>
    </row>
    <row r="6" spans="1:9" ht="43.5" hidden="1" customHeight="1">
      <c r="B6" s="264" t="s">
        <v>3</v>
      </c>
      <c r="C6" s="265"/>
      <c r="D6" s="265"/>
      <c r="E6" s="265"/>
      <c r="F6" s="265"/>
    </row>
    <row r="7" spans="1:9" ht="13.5" thickBot="1">
      <c r="B7" s="49"/>
      <c r="C7" s="49"/>
      <c r="D7" s="49"/>
      <c r="E7" s="49"/>
      <c r="F7" s="49"/>
      <c r="G7" s="16"/>
    </row>
    <row r="8" spans="1:9" ht="80.25" customHeight="1" thickBot="1">
      <c r="B8" s="266" t="s">
        <v>73</v>
      </c>
      <c r="C8" s="267"/>
      <c r="D8" s="267"/>
      <c r="E8" s="267"/>
      <c r="F8" s="268"/>
      <c r="G8" s="16"/>
    </row>
    <row r="9" spans="1:9" ht="167.25" hidden="1" customHeight="1" thickBot="1">
      <c r="B9" s="44"/>
      <c r="C9" s="112"/>
      <c r="D9" s="112"/>
      <c r="E9" s="112"/>
      <c r="F9" s="112"/>
      <c r="G9" s="16"/>
    </row>
    <row r="10" spans="1:9" ht="46.5" hidden="1" customHeight="1" thickBot="1">
      <c r="B10" s="269" t="s">
        <v>13</v>
      </c>
      <c r="C10" s="270"/>
      <c r="D10" s="270"/>
      <c r="E10" s="270"/>
      <c r="F10" s="271"/>
      <c r="G10" s="16"/>
    </row>
    <row r="11" spans="1:9" ht="26.25" hidden="1" customHeight="1">
      <c r="B11" s="36" t="s">
        <v>6</v>
      </c>
      <c r="C11" s="272" t="s">
        <v>7</v>
      </c>
      <c r="D11" s="273"/>
      <c r="E11" s="37"/>
      <c r="F11" s="10"/>
      <c r="G11" s="16"/>
    </row>
    <row r="12" spans="1:9" ht="12.75" hidden="1" customHeight="1">
      <c r="B12" s="38" t="s">
        <v>8</v>
      </c>
      <c r="C12" s="42"/>
      <c r="D12" s="274" t="s">
        <v>20</v>
      </c>
      <c r="E12" s="274"/>
      <c r="F12" s="275"/>
      <c r="G12" s="16"/>
    </row>
    <row r="13" spans="1:9" hidden="1">
      <c r="B13" s="38" t="s">
        <v>18</v>
      </c>
      <c r="C13" s="276">
        <v>2.0699999999999998</v>
      </c>
      <c r="D13" s="277"/>
      <c r="E13" s="109"/>
      <c r="F13" s="34"/>
      <c r="G13" s="16"/>
    </row>
    <row r="14" spans="1:9" hidden="1">
      <c r="B14" s="17" t="s">
        <v>9</v>
      </c>
      <c r="C14" s="43"/>
      <c r="D14" s="39" t="s">
        <v>15</v>
      </c>
      <c r="E14" s="109"/>
      <c r="F14" s="34"/>
      <c r="G14" s="16"/>
    </row>
    <row r="15" spans="1:9" hidden="1">
      <c r="B15" s="17" t="s">
        <v>16</v>
      </c>
      <c r="C15" s="43"/>
      <c r="D15" s="39" t="s">
        <v>17</v>
      </c>
      <c r="E15" s="109"/>
      <c r="F15" s="34"/>
      <c r="G15" s="16"/>
    </row>
    <row r="16" spans="1:9" hidden="1">
      <c r="B16" s="17" t="s">
        <v>10</v>
      </c>
      <c r="C16" s="43"/>
      <c r="D16" s="110">
        <v>1.2</v>
      </c>
      <c r="E16" s="40" t="s">
        <v>19</v>
      </c>
      <c r="F16" s="34"/>
      <c r="G16" s="16"/>
    </row>
    <row r="17" spans="1:9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6"/>
    </row>
    <row r="18" spans="1:9">
      <c r="B18" s="106"/>
      <c r="C18" s="46"/>
      <c r="D18" s="15"/>
      <c r="E18" s="55"/>
      <c r="F18" s="27"/>
      <c r="G18" s="16"/>
    </row>
    <row r="19" spans="1:9" ht="70.5" customHeight="1">
      <c r="B19" s="255" t="s">
        <v>22</v>
      </c>
      <c r="C19" s="255"/>
      <c r="D19" s="255"/>
      <c r="E19" s="255"/>
      <c r="F19" s="255"/>
      <c r="G19" s="16"/>
    </row>
    <row r="20" spans="1:9">
      <c r="B20" s="106"/>
      <c r="C20" s="46"/>
      <c r="D20" s="15"/>
      <c r="E20" s="55"/>
      <c r="F20" s="27"/>
      <c r="G20" s="16"/>
    </row>
    <row r="21" spans="1:9">
      <c r="B21" s="106"/>
      <c r="C21" s="46"/>
      <c r="D21" s="15"/>
      <c r="E21" s="55"/>
      <c r="F21" s="27"/>
      <c r="G21" s="16"/>
    </row>
    <row r="22" spans="1:9" ht="148.5" customHeight="1">
      <c r="B22" s="106"/>
      <c r="C22" s="46"/>
      <c r="D22" s="35"/>
      <c r="E22" s="4"/>
      <c r="F22" s="27"/>
      <c r="G22" s="16"/>
    </row>
    <row r="23" spans="1:9" ht="175.5" customHeight="1">
      <c r="B23" s="106"/>
      <c r="C23" s="278" t="s">
        <v>23</v>
      </c>
      <c r="D23" s="278"/>
      <c r="E23" s="278"/>
      <c r="F23" s="278"/>
      <c r="G23" s="16"/>
    </row>
    <row r="24" spans="1:9" s="78" customFormat="1" ht="130.5" hidden="1" customHeight="1">
      <c r="A24" s="76"/>
      <c r="B24" s="279" t="s">
        <v>41</v>
      </c>
      <c r="C24" s="279"/>
      <c r="D24" s="279"/>
      <c r="E24" s="2"/>
      <c r="F24" s="2"/>
      <c r="G24" s="77"/>
      <c r="I24" s="79"/>
    </row>
    <row r="25" spans="1:9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77"/>
      <c r="I25" s="79"/>
    </row>
    <row r="26" spans="1:9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77"/>
      <c r="I26" s="79"/>
    </row>
    <row r="27" spans="1:9" ht="13.5" thickBot="1"/>
    <row r="28" spans="1:9" s="78" customFormat="1" ht="34.5" customHeight="1" thickBot="1">
      <c r="A28" s="76"/>
      <c r="B28" s="92" t="s">
        <v>80</v>
      </c>
      <c r="C28" s="282"/>
      <c r="D28" s="283"/>
      <c r="E28" s="296"/>
      <c r="F28" s="285"/>
      <c r="G28" s="77"/>
      <c r="I28" s="79"/>
    </row>
    <row r="29" spans="1:9" s="78" customFormat="1" ht="23.25">
      <c r="A29" s="76"/>
      <c r="B29" s="111" t="s">
        <v>62</v>
      </c>
      <c r="C29" s="107"/>
      <c r="D29" s="107"/>
      <c r="E29" s="107"/>
      <c r="F29" s="107"/>
      <c r="G29" s="77"/>
      <c r="I29" s="79"/>
    </row>
    <row r="30" spans="1:9" s="78" customFormat="1" ht="122.25" customHeight="1" thickBot="1">
      <c r="A30" s="76"/>
      <c r="B30" s="287" t="s">
        <v>75</v>
      </c>
      <c r="C30" s="288"/>
      <c r="D30" s="288"/>
      <c r="E30" s="288"/>
      <c r="F30" s="288"/>
      <c r="G30" s="77"/>
      <c r="I30" s="79"/>
    </row>
    <row r="31" spans="1:9" s="78" customFormat="1" ht="31.5" thickBot="1">
      <c r="A31" s="76"/>
      <c r="B31" s="95" t="s">
        <v>190</v>
      </c>
      <c r="C31" s="93"/>
      <c r="D31" s="93"/>
      <c r="E31" s="93"/>
      <c r="F31" s="94"/>
      <c r="G31" s="77"/>
      <c r="I31" s="79"/>
    </row>
    <row r="32" spans="1:9" ht="16.5" thickBot="1">
      <c r="B32" s="81" t="s">
        <v>40</v>
      </c>
      <c r="C32" s="111"/>
      <c r="D32" s="14"/>
      <c r="E32" s="14"/>
      <c r="F32" s="82"/>
      <c r="G32" s="16"/>
    </row>
    <row r="33" spans="2:7" ht="87" customHeight="1" thickBot="1">
      <c r="B33" s="289" t="s">
        <v>63</v>
      </c>
      <c r="C33" s="290"/>
      <c r="D33" s="290"/>
      <c r="E33" s="290"/>
      <c r="F33" s="291"/>
      <c r="G33" s="16"/>
    </row>
    <row r="34" spans="2:7" ht="56.25" customHeight="1" thickBot="1">
      <c r="B34" s="297" t="s">
        <v>58</v>
      </c>
      <c r="C34" s="298"/>
      <c r="D34" s="298"/>
      <c r="E34" s="298"/>
      <c r="F34" s="299"/>
      <c r="G34" s="16"/>
    </row>
    <row r="35" spans="2:7">
      <c r="B35" s="90" t="s">
        <v>45</v>
      </c>
      <c r="C35" s="56"/>
      <c r="D35" s="86" t="s">
        <v>64</v>
      </c>
      <c r="E35" s="300"/>
      <c r="F35" s="301"/>
      <c r="G35" s="4"/>
    </row>
    <row r="36" spans="2:7">
      <c r="B36" s="17" t="s">
        <v>46</v>
      </c>
      <c r="C36" s="57"/>
      <c r="D36" s="83"/>
      <c r="E36" s="83"/>
      <c r="F36" s="85"/>
      <c r="G36" s="4"/>
    </row>
    <row r="37" spans="2:7">
      <c r="B37" s="17" t="s">
        <v>47</v>
      </c>
      <c r="C37" s="57" t="s">
        <v>48</v>
      </c>
      <c r="D37" s="87">
        <v>40</v>
      </c>
      <c r="E37" s="87"/>
      <c r="F37" s="58"/>
      <c r="G37" s="4"/>
    </row>
    <row r="38" spans="2:7">
      <c r="B38" s="17" t="s">
        <v>49</v>
      </c>
      <c r="C38" s="57" t="s">
        <v>48</v>
      </c>
      <c r="D38" s="87">
        <v>20</v>
      </c>
      <c r="E38" s="87"/>
      <c r="F38" s="58"/>
      <c r="G38" s="4"/>
    </row>
    <row r="39" spans="2:7">
      <c r="B39" s="17" t="s">
        <v>50</v>
      </c>
      <c r="C39" s="57" t="s">
        <v>25</v>
      </c>
      <c r="D39" s="87">
        <f>0.225*(D37*D38)</f>
        <v>180</v>
      </c>
      <c r="E39" s="87"/>
      <c r="F39" s="58"/>
      <c r="G39" s="4"/>
    </row>
    <row r="40" spans="2:7">
      <c r="B40" s="17" t="s">
        <v>51</v>
      </c>
      <c r="C40" s="57" t="s">
        <v>25</v>
      </c>
      <c r="D40" s="87">
        <f>0.15*(D37*D38)</f>
        <v>120</v>
      </c>
      <c r="E40" s="121"/>
      <c r="F40" s="116"/>
      <c r="G40" s="4"/>
    </row>
    <row r="41" spans="2:7" ht="12.75" customHeight="1">
      <c r="B41" s="17" t="s">
        <v>52</v>
      </c>
      <c r="C41" s="57"/>
      <c r="D41" s="121" t="s">
        <v>65</v>
      </c>
      <c r="E41" s="87"/>
      <c r="F41" s="58"/>
      <c r="G41" s="4"/>
    </row>
    <row r="42" spans="2:7">
      <c r="B42" s="17" t="s">
        <v>53</v>
      </c>
      <c r="C42" s="57" t="s">
        <v>24</v>
      </c>
      <c r="D42" s="87">
        <v>-10</v>
      </c>
      <c r="E42" s="87"/>
      <c r="F42" s="58"/>
      <c r="G42" s="4"/>
    </row>
    <row r="43" spans="2:7">
      <c r="B43" s="17" t="s">
        <v>54</v>
      </c>
      <c r="C43" s="57" t="s">
        <v>24</v>
      </c>
      <c r="D43" s="87">
        <v>-15</v>
      </c>
      <c r="E43" s="87"/>
      <c r="F43" s="58"/>
      <c r="G43" s="4"/>
    </row>
    <row r="44" spans="2:7">
      <c r="B44" s="17" t="s">
        <v>55</v>
      </c>
      <c r="C44" s="57" t="s">
        <v>26</v>
      </c>
      <c r="D44" s="83">
        <f>D39/(1060*3.5*(D42-D43))*3600</f>
        <v>34.932614555256066</v>
      </c>
      <c r="E44" s="83"/>
      <c r="F44" s="85"/>
      <c r="G44" s="4"/>
    </row>
    <row r="45" spans="2:7" ht="13.5" thickBot="1">
      <c r="B45" s="91" t="s">
        <v>56</v>
      </c>
      <c r="C45" s="88" t="s">
        <v>48</v>
      </c>
      <c r="D45" s="89">
        <v>20</v>
      </c>
      <c r="E45" s="89"/>
      <c r="F45" s="117"/>
      <c r="G45" s="4"/>
    </row>
    <row r="46" spans="2:7">
      <c r="B46" s="65"/>
      <c r="C46" s="59"/>
      <c r="D46" s="35"/>
      <c r="E46" s="84"/>
      <c r="F46" s="64"/>
      <c r="G46" s="35"/>
    </row>
    <row r="47" spans="2:7">
      <c r="B47" s="66" t="s">
        <v>66</v>
      </c>
      <c r="C47" s="295" t="s">
        <v>7</v>
      </c>
      <c r="D47" s="295"/>
      <c r="E47" s="55"/>
      <c r="F47" s="64"/>
      <c r="G47" s="115"/>
    </row>
    <row r="48" spans="2:7" ht="12.75" customHeight="1">
      <c r="B48" s="38" t="s">
        <v>8</v>
      </c>
      <c r="C48" s="67">
        <v>4</v>
      </c>
      <c r="D48" s="60" t="s">
        <v>67</v>
      </c>
      <c r="E48" s="274" t="s">
        <v>68</v>
      </c>
      <c r="F48" s="275"/>
      <c r="G48" s="60"/>
    </row>
    <row r="49" spans="2:7">
      <c r="B49" s="38" t="s">
        <v>69</v>
      </c>
      <c r="C49" s="277">
        <f>C48*49.75</f>
        <v>199</v>
      </c>
      <c r="D49" s="286"/>
      <c r="E49" s="113"/>
      <c r="F49" s="34"/>
      <c r="G49" s="118"/>
    </row>
    <row r="50" spans="2:7">
      <c r="B50" s="17" t="s">
        <v>9</v>
      </c>
      <c r="C50" s="57"/>
      <c r="D50" s="39" t="s">
        <v>64</v>
      </c>
      <c r="E50" s="113"/>
      <c r="F50" s="34"/>
      <c r="G50" s="119"/>
    </row>
    <row r="51" spans="2:7">
      <c r="B51" s="17" t="s">
        <v>10</v>
      </c>
      <c r="C51" s="57"/>
      <c r="D51" s="39">
        <f>C48*47.3</f>
        <v>189.2</v>
      </c>
      <c r="E51" s="113"/>
      <c r="F51" s="34"/>
      <c r="G51" s="119"/>
    </row>
    <row r="52" spans="2:7">
      <c r="B52" s="17" t="s">
        <v>27</v>
      </c>
      <c r="C52" s="57"/>
      <c r="D52" s="114">
        <f>(C49+D51)*1.21*1.15</f>
        <v>540.18029999999999</v>
      </c>
      <c r="E52" s="40"/>
      <c r="F52" s="34"/>
      <c r="G52" s="120"/>
    </row>
    <row r="53" spans="2:7">
      <c r="B53" s="68" t="s">
        <v>28</v>
      </c>
      <c r="C53" s="61" t="s">
        <v>29</v>
      </c>
      <c r="D53" s="62" t="s">
        <v>30</v>
      </c>
      <c r="E53" s="62"/>
      <c r="F53" s="122"/>
      <c r="G53" s="62"/>
    </row>
    <row r="54" spans="2:7">
      <c r="B54" s="65" t="s">
        <v>31</v>
      </c>
      <c r="C54" s="63">
        <v>42</v>
      </c>
      <c r="D54" s="4" t="s">
        <v>70</v>
      </c>
      <c r="E54" s="4"/>
      <c r="F54" s="64"/>
      <c r="G54" s="4"/>
    </row>
    <row r="55" spans="2:7">
      <c r="B55" s="65" t="s">
        <v>32</v>
      </c>
      <c r="C55" s="63"/>
      <c r="D55" s="4" t="s">
        <v>70</v>
      </c>
      <c r="E55" s="4"/>
      <c r="F55" s="64"/>
      <c r="G55" s="4"/>
    </row>
    <row r="56" spans="2:7">
      <c r="B56" s="65" t="s">
        <v>33</v>
      </c>
      <c r="C56" s="59"/>
      <c r="D56" s="35" t="s">
        <v>35</v>
      </c>
      <c r="E56" s="84"/>
      <c r="F56" s="64"/>
      <c r="G56" s="35"/>
    </row>
    <row r="57" spans="2:7" ht="13.5" thickBot="1">
      <c r="B57" s="41" t="s">
        <v>34</v>
      </c>
      <c r="C57" s="69">
        <v>67</v>
      </c>
      <c r="D57" s="70" t="s">
        <v>71</v>
      </c>
      <c r="E57" s="24"/>
      <c r="F57" s="29"/>
      <c r="G57" s="35"/>
    </row>
    <row r="58" spans="2:7">
      <c r="B58" s="112"/>
      <c r="C58" s="57"/>
      <c r="D58" s="83"/>
      <c r="E58" s="109"/>
      <c r="F58" s="112"/>
      <c r="G58" s="16"/>
    </row>
    <row r="59" spans="2:7">
      <c r="B59" s="112"/>
      <c r="C59" s="57"/>
      <c r="D59" s="83"/>
      <c r="E59" s="109"/>
      <c r="F59" s="112"/>
      <c r="G59" s="16"/>
    </row>
    <row r="60" spans="2:7" ht="38.25">
      <c r="B60" s="112" t="s">
        <v>79</v>
      </c>
      <c r="C60" s="57"/>
      <c r="D60" s="83"/>
      <c r="E60" s="109"/>
      <c r="F60" s="112"/>
      <c r="G60" s="16"/>
    </row>
    <row r="61" spans="2:7">
      <c r="B61" s="112"/>
      <c r="C61" s="57"/>
      <c r="D61" s="83"/>
      <c r="E61" s="109"/>
      <c r="F61" s="112"/>
      <c r="G61" s="16"/>
    </row>
    <row r="62" spans="2:7" ht="13.5" thickBot="1">
      <c r="B62" s="112"/>
      <c r="C62" s="57"/>
      <c r="D62" s="83"/>
      <c r="E62" s="109"/>
      <c r="F62" s="112"/>
      <c r="G62" s="16"/>
    </row>
    <row r="63" spans="2:7" ht="13.5" thickBot="1">
      <c r="B63" s="140" t="s">
        <v>83</v>
      </c>
      <c r="C63" s="141"/>
      <c r="D63" s="142"/>
      <c r="E63" s="142"/>
      <c r="F63" s="143"/>
      <c r="G63" s="16"/>
    </row>
    <row r="64" spans="2:7" ht="13.5" thickBot="1">
      <c r="B64" s="71"/>
      <c r="C64" s="72"/>
      <c r="D64" s="73"/>
      <c r="E64" s="73"/>
      <c r="F64" s="74"/>
      <c r="G64" s="16"/>
    </row>
    <row r="65" spans="2:7" ht="63.75">
      <c r="B65" s="96" t="s">
        <v>72</v>
      </c>
      <c r="C65" s="97">
        <v>1</v>
      </c>
      <c r="D65" s="98" t="s">
        <v>5</v>
      </c>
      <c r="E65" s="99">
        <f>4644823*0.85</f>
        <v>3948099.55</v>
      </c>
      <c r="F65" s="100">
        <f t="shared" ref="F65:F70" si="0">C65*E65</f>
        <v>3948099.55</v>
      </c>
      <c r="G65" s="16"/>
    </row>
    <row r="66" spans="2:7">
      <c r="B66" s="53" t="s">
        <v>81</v>
      </c>
      <c r="C66" s="50">
        <v>1</v>
      </c>
      <c r="D66" s="51" t="s">
        <v>36</v>
      </c>
      <c r="E66" s="52">
        <f>301940</f>
        <v>301940</v>
      </c>
      <c r="F66" s="54">
        <f t="shared" si="0"/>
        <v>301940</v>
      </c>
      <c r="G66" s="16"/>
    </row>
    <row r="67" spans="2:7">
      <c r="B67" s="53" t="s">
        <v>59</v>
      </c>
      <c r="C67" s="50">
        <v>1</v>
      </c>
      <c r="D67" s="51" t="s">
        <v>36</v>
      </c>
      <c r="E67" s="52">
        <f>D37*D38*1.1*1172*1.15*1.2</f>
        <v>1423276.8</v>
      </c>
      <c r="F67" s="54">
        <f t="shared" si="0"/>
        <v>1423276.8</v>
      </c>
      <c r="G67" s="16"/>
    </row>
    <row r="68" spans="2:7">
      <c r="B68" s="53" t="s">
        <v>60</v>
      </c>
      <c r="C68" s="50">
        <v>1</v>
      </c>
      <c r="D68" s="51" t="s">
        <v>21</v>
      </c>
      <c r="E68" s="52">
        <f>E65*0.08</f>
        <v>315847.96399999998</v>
      </c>
      <c r="F68" s="54">
        <f t="shared" si="0"/>
        <v>315847.96399999998</v>
      </c>
      <c r="G68" s="16"/>
    </row>
    <row r="69" spans="2:7">
      <c r="B69" s="53" t="s">
        <v>43</v>
      </c>
      <c r="C69" s="50">
        <v>1</v>
      </c>
      <c r="D69" s="51" t="s">
        <v>21</v>
      </c>
      <c r="E69" s="52">
        <v>24840</v>
      </c>
      <c r="F69" s="54">
        <f t="shared" si="0"/>
        <v>24840</v>
      </c>
      <c r="G69" s="16"/>
    </row>
    <row r="70" spans="2:7" ht="13.5" thickBot="1">
      <c r="B70" s="101" t="s">
        <v>61</v>
      </c>
      <c r="C70" s="102">
        <v>1</v>
      </c>
      <c r="D70" s="103" t="s">
        <v>36</v>
      </c>
      <c r="E70" s="104">
        <f>804307*0.65</f>
        <v>522799.55000000005</v>
      </c>
      <c r="F70" s="105">
        <f t="shared" si="0"/>
        <v>522799.55000000005</v>
      </c>
      <c r="G70" s="16"/>
    </row>
    <row r="71" spans="2:7" ht="13.5" thickBot="1">
      <c r="B71" s="22" t="s">
        <v>11</v>
      </c>
      <c r="C71" s="23"/>
      <c r="D71" s="24"/>
      <c r="E71" s="25"/>
      <c r="F71" s="26">
        <f>SUM(F65:F70)</f>
        <v>6536803.8639999991</v>
      </c>
      <c r="G71" s="16"/>
    </row>
    <row r="72" spans="2:7" ht="13.5" thickBot="1">
      <c r="B72" s="20" t="s">
        <v>4</v>
      </c>
      <c r="C72" s="19"/>
      <c r="D72" s="18"/>
      <c r="E72" s="19"/>
      <c r="F72" s="21">
        <f>F71*18/118</f>
        <v>997139.57247457618</v>
      </c>
      <c r="G72" s="16"/>
    </row>
    <row r="73" spans="2:7" ht="13.5" thickBot="1">
      <c r="B73" s="20" t="s">
        <v>38</v>
      </c>
      <c r="C73" s="19"/>
      <c r="D73" s="18">
        <v>75</v>
      </c>
      <c r="E73" s="19"/>
      <c r="F73" s="80">
        <f>F71/D73</f>
        <v>87157.384853333322</v>
      </c>
      <c r="G73" s="16"/>
    </row>
    <row r="74" spans="2:7" ht="25.5">
      <c r="B74" s="75" t="s">
        <v>57</v>
      </c>
      <c r="G74" s="16"/>
    </row>
    <row r="75" spans="2:7">
      <c r="B75" s="11" t="s">
        <v>37</v>
      </c>
      <c r="G75" s="16"/>
    </row>
    <row r="76" spans="2:7">
      <c r="B76" s="11" t="s">
        <v>76</v>
      </c>
      <c r="C76" s="57"/>
      <c r="D76" s="83"/>
      <c r="E76" s="109"/>
      <c r="F76" s="112"/>
      <c r="G76" s="16"/>
    </row>
    <row r="77" spans="2:7" ht="13.5" thickBot="1">
      <c r="C77" s="57"/>
      <c r="D77" s="83"/>
      <c r="E77" s="123"/>
      <c r="F77" s="124"/>
      <c r="G77" s="16"/>
    </row>
    <row r="78" spans="2:7" ht="13.5" thickBot="1">
      <c r="B78" s="30" t="s">
        <v>88</v>
      </c>
      <c r="C78" s="31"/>
      <c r="D78" s="32"/>
      <c r="E78" s="32"/>
      <c r="F78" s="33"/>
      <c r="G78" s="16"/>
    </row>
    <row r="79" spans="2:7" ht="13.5" thickBot="1">
      <c r="B79" s="71"/>
      <c r="C79" s="72"/>
      <c r="D79" s="73"/>
      <c r="E79" s="73"/>
      <c r="F79" s="74"/>
      <c r="G79" s="16"/>
    </row>
    <row r="80" spans="2:7" ht="63.75">
      <c r="B80" s="96" t="s">
        <v>77</v>
      </c>
      <c r="C80" s="97">
        <v>1</v>
      </c>
      <c r="D80" s="98" t="s">
        <v>5</v>
      </c>
      <c r="E80" s="99">
        <f>4644823*0.89*0.5</f>
        <v>2066946.2350000001</v>
      </c>
      <c r="F80" s="100">
        <f t="shared" ref="F80:F85" si="1">C80*E80</f>
        <v>2066946.2350000001</v>
      </c>
      <c r="G80" s="16"/>
    </row>
    <row r="81" spans="2:7">
      <c r="B81" s="53" t="s">
        <v>81</v>
      </c>
      <c r="C81" s="50">
        <v>1</v>
      </c>
      <c r="D81" s="51" t="s">
        <v>36</v>
      </c>
      <c r="E81" s="52">
        <f>301940</f>
        <v>301940</v>
      </c>
      <c r="F81" s="54">
        <f t="shared" si="1"/>
        <v>301940</v>
      </c>
      <c r="G81" s="16"/>
    </row>
    <row r="82" spans="2:7">
      <c r="B82" s="53" t="s">
        <v>59</v>
      </c>
      <c r="C82" s="50">
        <v>1</v>
      </c>
      <c r="D82" s="51" t="s">
        <v>36</v>
      </c>
      <c r="E82" s="52">
        <f>D37*D38*1.1*1172*1.15*1.2</f>
        <v>1423276.8</v>
      </c>
      <c r="F82" s="54">
        <f t="shared" si="1"/>
        <v>1423276.8</v>
      </c>
      <c r="G82" s="16"/>
    </row>
    <row r="83" spans="2:7">
      <c r="B83" s="53" t="s">
        <v>60</v>
      </c>
      <c r="C83" s="50">
        <v>1</v>
      </c>
      <c r="D83" s="51" t="s">
        <v>21</v>
      </c>
      <c r="E83" s="52">
        <f>E65*0.08</f>
        <v>315847.96399999998</v>
      </c>
      <c r="F83" s="54">
        <f t="shared" si="1"/>
        <v>315847.96399999998</v>
      </c>
      <c r="G83" s="16"/>
    </row>
    <row r="84" spans="2:7">
      <c r="B84" s="53" t="s">
        <v>43</v>
      </c>
      <c r="C84" s="50">
        <v>1</v>
      </c>
      <c r="D84" s="51" t="s">
        <v>21</v>
      </c>
      <c r="E84" s="52">
        <v>24840</v>
      </c>
      <c r="F84" s="54">
        <f t="shared" si="1"/>
        <v>24840</v>
      </c>
      <c r="G84" s="16"/>
    </row>
    <row r="85" spans="2:7" ht="13.5" thickBot="1">
      <c r="B85" s="101" t="s">
        <v>61</v>
      </c>
      <c r="C85" s="102">
        <v>1</v>
      </c>
      <c r="D85" s="103" t="s">
        <v>36</v>
      </c>
      <c r="E85" s="104">
        <f>804307*0.65</f>
        <v>522799.55000000005</v>
      </c>
      <c r="F85" s="105">
        <f t="shared" si="1"/>
        <v>522799.55000000005</v>
      </c>
      <c r="G85" s="16"/>
    </row>
    <row r="86" spans="2:7" ht="13.5" thickBot="1">
      <c r="B86" s="22" t="s">
        <v>11</v>
      </c>
      <c r="C86" s="23"/>
      <c r="D86" s="24"/>
      <c r="E86" s="25"/>
      <c r="F86" s="26">
        <f>SUM(F80:F85)</f>
        <v>4655650.5490000006</v>
      </c>
      <c r="G86" s="16"/>
    </row>
    <row r="87" spans="2:7" ht="13.5" thickBot="1">
      <c r="B87" s="20" t="s">
        <v>4</v>
      </c>
      <c r="C87" s="19"/>
      <c r="D87" s="18"/>
      <c r="E87" s="19"/>
      <c r="F87" s="21">
        <f>F86*18/118</f>
        <v>710183.98205084761</v>
      </c>
      <c r="G87" s="16"/>
    </row>
    <row r="88" spans="2:7" ht="13.5" thickBot="1">
      <c r="B88" s="20" t="s">
        <v>38</v>
      </c>
      <c r="C88" s="19"/>
      <c r="D88" s="18">
        <v>68</v>
      </c>
      <c r="E88" s="19"/>
      <c r="F88" s="80">
        <f>F86/D88</f>
        <v>68465.449250000005</v>
      </c>
      <c r="G88" s="16"/>
    </row>
    <row r="89" spans="2:7" ht="25.5">
      <c r="B89" s="75" t="s">
        <v>57</v>
      </c>
      <c r="G89" s="16"/>
    </row>
    <row r="90" spans="2:7">
      <c r="B90" s="11" t="s">
        <v>37</v>
      </c>
      <c r="G90" s="16"/>
    </row>
    <row r="91" spans="2:7">
      <c r="B91" s="11" t="s">
        <v>76</v>
      </c>
      <c r="C91" s="57"/>
      <c r="D91" s="83"/>
      <c r="E91" s="123"/>
      <c r="F91" s="124"/>
      <c r="G91" s="16"/>
    </row>
    <row r="94" spans="2:7" ht="13.5" thickBot="1"/>
    <row r="95" spans="2:7" ht="13.5" thickBot="1">
      <c r="B95" s="140" t="s">
        <v>82</v>
      </c>
      <c r="C95" s="141"/>
      <c r="D95" s="142"/>
      <c r="E95" s="142"/>
      <c r="F95" s="143"/>
      <c r="G95" s="16"/>
    </row>
    <row r="96" spans="2:7" ht="56.25" customHeight="1" thickBot="1">
      <c r="B96" s="297" t="s">
        <v>58</v>
      </c>
      <c r="C96" s="298"/>
      <c r="D96" s="298"/>
      <c r="E96" s="298"/>
      <c r="F96" s="299"/>
      <c r="G96" s="16"/>
    </row>
    <row r="97" spans="2:7">
      <c r="B97" s="90" t="s">
        <v>45</v>
      </c>
      <c r="C97" s="56"/>
      <c r="D97" s="86" t="s">
        <v>64</v>
      </c>
      <c r="E97" s="300"/>
      <c r="F97" s="301"/>
      <c r="G97" s="4"/>
    </row>
    <row r="98" spans="2:7">
      <c r="B98" s="17" t="s">
        <v>46</v>
      </c>
      <c r="C98" s="57"/>
      <c r="D98" s="83"/>
      <c r="E98" s="83"/>
      <c r="F98" s="85"/>
      <c r="G98" s="4"/>
    </row>
    <row r="99" spans="2:7">
      <c r="B99" s="17" t="s">
        <v>47</v>
      </c>
      <c r="C99" s="57" t="s">
        <v>48</v>
      </c>
      <c r="D99" s="87">
        <v>40</v>
      </c>
      <c r="E99" s="87"/>
      <c r="F99" s="58"/>
      <c r="G99" s="4"/>
    </row>
    <row r="100" spans="2:7">
      <c r="B100" s="17" t="s">
        <v>49</v>
      </c>
      <c r="C100" s="57" t="s">
        <v>48</v>
      </c>
      <c r="D100" s="87">
        <v>20</v>
      </c>
      <c r="E100" s="87"/>
      <c r="F100" s="58"/>
      <c r="G100" s="4"/>
    </row>
    <row r="101" spans="2:7">
      <c r="B101" s="17" t="s">
        <v>50</v>
      </c>
      <c r="C101" s="57" t="s">
        <v>25</v>
      </c>
      <c r="D101" s="87">
        <f>0.225*(D99*D100)</f>
        <v>180</v>
      </c>
      <c r="E101" s="87"/>
      <c r="F101" s="58"/>
      <c r="G101" s="4"/>
    </row>
    <row r="102" spans="2:7">
      <c r="B102" s="17" t="s">
        <v>51</v>
      </c>
      <c r="C102" s="57" t="s">
        <v>25</v>
      </c>
      <c r="D102" s="87">
        <f>0.15*(D99*D100)</f>
        <v>120</v>
      </c>
      <c r="E102" s="121"/>
      <c r="F102" s="116"/>
      <c r="G102" s="4"/>
    </row>
    <row r="103" spans="2:7" ht="12.75" customHeight="1">
      <c r="B103" s="17" t="s">
        <v>52</v>
      </c>
      <c r="C103" s="57"/>
      <c r="D103" s="121" t="s">
        <v>65</v>
      </c>
      <c r="E103" s="87"/>
      <c r="F103" s="58"/>
      <c r="G103" s="4"/>
    </row>
    <row r="104" spans="2:7">
      <c r="B104" s="17" t="s">
        <v>53</v>
      </c>
      <c r="C104" s="57" t="s">
        <v>24</v>
      </c>
      <c r="D104" s="87">
        <v>-10</v>
      </c>
      <c r="E104" s="87"/>
      <c r="F104" s="58"/>
      <c r="G104" s="4"/>
    </row>
    <row r="105" spans="2:7">
      <c r="B105" s="17" t="s">
        <v>54</v>
      </c>
      <c r="C105" s="57" t="s">
        <v>24</v>
      </c>
      <c r="D105" s="87">
        <v>-15</v>
      </c>
      <c r="E105" s="87"/>
      <c r="F105" s="58"/>
      <c r="G105" s="4"/>
    </row>
    <row r="106" spans="2:7">
      <c r="B106" s="17" t="s">
        <v>55</v>
      </c>
      <c r="C106" s="57" t="s">
        <v>26</v>
      </c>
      <c r="D106" s="83">
        <f>D101/(1060*3.5*(D104-D105))*3600</f>
        <v>34.932614555256066</v>
      </c>
      <c r="E106" s="83"/>
      <c r="F106" s="85"/>
      <c r="G106" s="4"/>
    </row>
    <row r="107" spans="2:7" ht="13.5" thickBot="1">
      <c r="B107" s="91" t="s">
        <v>56</v>
      </c>
      <c r="C107" s="88" t="s">
        <v>48</v>
      </c>
      <c r="D107" s="89">
        <v>20</v>
      </c>
      <c r="E107" s="89"/>
      <c r="F107" s="117"/>
      <c r="G107" s="4"/>
    </row>
    <row r="108" spans="2:7">
      <c r="B108" s="65"/>
      <c r="C108" s="59"/>
      <c r="D108" s="35"/>
      <c r="E108" s="84"/>
      <c r="F108" s="64"/>
      <c r="G108" s="35"/>
    </row>
    <row r="109" spans="2:7">
      <c r="B109" s="66" t="s">
        <v>66</v>
      </c>
      <c r="C109" s="295" t="s">
        <v>7</v>
      </c>
      <c r="D109" s="295"/>
      <c r="E109" s="55"/>
      <c r="F109" s="64"/>
      <c r="G109" s="128"/>
    </row>
    <row r="110" spans="2:7" ht="12.75" customHeight="1">
      <c r="B110" s="38" t="s">
        <v>8</v>
      </c>
      <c r="C110" s="67">
        <v>1</v>
      </c>
      <c r="D110" s="60" t="s">
        <v>84</v>
      </c>
      <c r="E110" s="274" t="s">
        <v>85</v>
      </c>
      <c r="F110" s="275"/>
      <c r="G110" s="60"/>
    </row>
    <row r="111" spans="2:7">
      <c r="B111" s="38" t="s">
        <v>69</v>
      </c>
      <c r="C111" s="277">
        <f>C110*195921</f>
        <v>195921</v>
      </c>
      <c r="D111" s="286"/>
      <c r="E111" s="125"/>
      <c r="F111" s="34"/>
      <c r="G111" s="118"/>
    </row>
    <row r="112" spans="2:7">
      <c r="B112" s="17" t="s">
        <v>9</v>
      </c>
      <c r="C112" s="57"/>
      <c r="D112" s="39" t="s">
        <v>64</v>
      </c>
      <c r="E112" s="125"/>
      <c r="F112" s="34"/>
      <c r="G112" s="119"/>
    </row>
    <row r="113" spans="2:7">
      <c r="B113" s="17" t="s">
        <v>10</v>
      </c>
      <c r="C113" s="57"/>
      <c r="D113" s="39">
        <f>100*1.3</f>
        <v>130</v>
      </c>
      <c r="E113" s="125"/>
      <c r="F113" s="34"/>
      <c r="G113" s="119"/>
    </row>
    <row r="114" spans="2:7">
      <c r="B114" s="17" t="s">
        <v>27</v>
      </c>
      <c r="C114" s="57"/>
      <c r="D114" s="126">
        <f>(C111+D113)*1.21*1.15</f>
        <v>272804.96649999998</v>
      </c>
      <c r="E114" s="40"/>
      <c r="F114" s="34"/>
      <c r="G114" s="120"/>
    </row>
    <row r="115" spans="2:7">
      <c r="B115" s="68" t="s">
        <v>28</v>
      </c>
      <c r="C115" s="61" t="s">
        <v>29</v>
      </c>
      <c r="D115" s="62" t="s">
        <v>30</v>
      </c>
      <c r="E115" s="62"/>
      <c r="F115" s="122"/>
      <c r="G115" s="62"/>
    </row>
    <row r="116" spans="2:7">
      <c r="B116" s="65" t="s">
        <v>31</v>
      </c>
      <c r="C116" s="63">
        <v>42</v>
      </c>
      <c r="D116" s="4" t="s">
        <v>70</v>
      </c>
      <c r="E116" s="4"/>
      <c r="F116" s="64"/>
      <c r="G116" s="4"/>
    </row>
    <row r="117" spans="2:7">
      <c r="B117" s="65" t="s">
        <v>32</v>
      </c>
      <c r="C117" s="63"/>
      <c r="D117" s="4" t="s">
        <v>70</v>
      </c>
      <c r="E117" s="4"/>
      <c r="F117" s="64"/>
      <c r="G117" s="4"/>
    </row>
    <row r="118" spans="2:7">
      <c r="B118" s="65" t="s">
        <v>33</v>
      </c>
      <c r="C118" s="59"/>
      <c r="D118" s="35" t="s">
        <v>35</v>
      </c>
      <c r="E118" s="84"/>
      <c r="F118" s="64"/>
      <c r="G118" s="35"/>
    </row>
    <row r="119" spans="2:7" ht="13.5" thickBot="1">
      <c r="B119" s="41" t="s">
        <v>34</v>
      </c>
      <c r="C119" s="69">
        <v>67</v>
      </c>
      <c r="D119" s="70" t="s">
        <v>71</v>
      </c>
      <c r="E119" s="24"/>
      <c r="F119" s="29"/>
      <c r="G119" s="35"/>
    </row>
    <row r="120" spans="2:7">
      <c r="B120" s="127"/>
      <c r="C120" s="57"/>
      <c r="D120" s="83"/>
      <c r="E120" s="125"/>
      <c r="F120" s="127"/>
      <c r="G120" s="16"/>
    </row>
    <row r="121" spans="2:7">
      <c r="B121" s="127"/>
      <c r="C121" s="57"/>
      <c r="D121" s="83"/>
      <c r="E121" s="125"/>
      <c r="F121" s="127"/>
      <c r="G121" s="16"/>
    </row>
    <row r="122" spans="2:7" ht="38.25">
      <c r="B122" s="127" t="s">
        <v>79</v>
      </c>
      <c r="C122" s="57"/>
      <c r="D122" s="83"/>
      <c r="E122" s="125"/>
      <c r="F122" s="127"/>
      <c r="G122" s="16"/>
    </row>
    <row r="123" spans="2:7">
      <c r="B123" s="127"/>
      <c r="C123" s="57"/>
      <c r="D123" s="83"/>
      <c r="E123" s="125"/>
      <c r="F123" s="127"/>
      <c r="G123" s="16"/>
    </row>
    <row r="124" spans="2:7" ht="13.5" thickBot="1">
      <c r="B124" s="127"/>
      <c r="C124" s="57"/>
      <c r="D124" s="83"/>
      <c r="E124" s="125"/>
      <c r="F124" s="127"/>
      <c r="G124" s="16"/>
    </row>
    <row r="125" spans="2:7" ht="13.5" thickBot="1">
      <c r="B125" s="30" t="s">
        <v>82</v>
      </c>
      <c r="C125" s="31"/>
      <c r="D125" s="32"/>
      <c r="E125" s="32"/>
      <c r="F125" s="33"/>
      <c r="G125" s="16"/>
    </row>
    <row r="126" spans="2:7" ht="13.5" thickBot="1">
      <c r="B126" s="71"/>
      <c r="C126" s="72"/>
      <c r="D126" s="73"/>
      <c r="E126" s="73"/>
      <c r="F126" s="74"/>
      <c r="G126" s="16"/>
    </row>
    <row r="127" spans="2:7" ht="63.75">
      <c r="B127" s="96" t="s">
        <v>86</v>
      </c>
      <c r="C127" s="97">
        <v>1</v>
      </c>
      <c r="D127" s="98" t="s">
        <v>5</v>
      </c>
      <c r="E127" s="99">
        <f>4644823*0.84</f>
        <v>3901651.32</v>
      </c>
      <c r="F127" s="100">
        <f t="shared" ref="F127:F132" si="2">C127*E127</f>
        <v>3901651.32</v>
      </c>
      <c r="G127" s="16"/>
    </row>
    <row r="128" spans="2:7">
      <c r="B128" s="53" t="s">
        <v>81</v>
      </c>
      <c r="C128" s="50">
        <v>1</v>
      </c>
      <c r="D128" s="51" t="s">
        <v>36</v>
      </c>
      <c r="E128" s="52">
        <f>301940</f>
        <v>301940</v>
      </c>
      <c r="F128" s="54">
        <f t="shared" si="2"/>
        <v>301940</v>
      </c>
      <c r="G128" s="16"/>
    </row>
    <row r="129" spans="2:7">
      <c r="B129" s="53" t="s">
        <v>59</v>
      </c>
      <c r="C129" s="50">
        <v>1</v>
      </c>
      <c r="D129" s="51" t="s">
        <v>36</v>
      </c>
      <c r="E129" s="52">
        <f>D99*D100*1.1*1172*1.15*1.2</f>
        <v>1423276.8</v>
      </c>
      <c r="F129" s="54">
        <f t="shared" si="2"/>
        <v>1423276.8</v>
      </c>
      <c r="G129" s="16"/>
    </row>
    <row r="130" spans="2:7">
      <c r="B130" s="53" t="s">
        <v>60</v>
      </c>
      <c r="C130" s="50">
        <v>1</v>
      </c>
      <c r="D130" s="51" t="s">
        <v>21</v>
      </c>
      <c r="E130" s="52">
        <f>E127*0.08</f>
        <v>312132.10560000001</v>
      </c>
      <c r="F130" s="54">
        <f t="shared" si="2"/>
        <v>312132.10560000001</v>
      </c>
      <c r="G130" s="16"/>
    </row>
    <row r="131" spans="2:7">
      <c r="B131" s="53" t="s">
        <v>43</v>
      </c>
      <c r="C131" s="50">
        <v>1</v>
      </c>
      <c r="D131" s="51" t="s">
        <v>21</v>
      </c>
      <c r="E131" s="52">
        <v>24840</v>
      </c>
      <c r="F131" s="54">
        <f t="shared" si="2"/>
        <v>24840</v>
      </c>
      <c r="G131" s="16"/>
    </row>
    <row r="132" spans="2:7" ht="13.5" thickBot="1">
      <c r="B132" s="101" t="s">
        <v>61</v>
      </c>
      <c r="C132" s="102">
        <v>1</v>
      </c>
      <c r="D132" s="103" t="s">
        <v>36</v>
      </c>
      <c r="E132" s="104">
        <f>804307*0.65</f>
        <v>522799.55000000005</v>
      </c>
      <c r="F132" s="105">
        <f t="shared" si="2"/>
        <v>522799.55000000005</v>
      </c>
      <c r="G132" s="16"/>
    </row>
    <row r="133" spans="2:7" ht="13.5" thickBot="1">
      <c r="B133" s="22" t="s">
        <v>11</v>
      </c>
      <c r="C133" s="23"/>
      <c r="D133" s="24"/>
      <c r="E133" s="25"/>
      <c r="F133" s="26">
        <f>SUM(F127:F132)</f>
        <v>6486639.7756000003</v>
      </c>
      <c r="G133" s="16"/>
    </row>
    <row r="134" spans="2:7" ht="13.5" thickBot="1">
      <c r="B134" s="20" t="s">
        <v>4</v>
      </c>
      <c r="C134" s="19"/>
      <c r="D134" s="18"/>
      <c r="E134" s="19"/>
      <c r="F134" s="21">
        <f>F133*18/118</f>
        <v>989487.42339661019</v>
      </c>
      <c r="G134" s="16"/>
    </row>
    <row r="135" spans="2:7" ht="13.5" thickBot="1">
      <c r="B135" s="20" t="s">
        <v>38</v>
      </c>
      <c r="C135" s="19"/>
      <c r="D135" s="18">
        <v>75</v>
      </c>
      <c r="E135" s="19"/>
      <c r="F135" s="80">
        <f>F133/D135</f>
        <v>86488.530341333331</v>
      </c>
      <c r="G135" s="16"/>
    </row>
    <row r="136" spans="2:7" ht="25.5">
      <c r="B136" s="75" t="s">
        <v>57</v>
      </c>
      <c r="G136" s="16"/>
    </row>
    <row r="137" spans="2:7">
      <c r="B137" s="11" t="s">
        <v>37</v>
      </c>
      <c r="G137" s="16"/>
    </row>
    <row r="138" spans="2:7">
      <c r="B138" s="11" t="s">
        <v>76</v>
      </c>
      <c r="C138" s="57"/>
      <c r="D138" s="83"/>
      <c r="E138" s="125"/>
      <c r="F138" s="127"/>
      <c r="G138" s="16"/>
    </row>
    <row r="139" spans="2:7" ht="13.5" thickBot="1">
      <c r="C139" s="57"/>
      <c r="D139" s="83"/>
      <c r="E139" s="125"/>
      <c r="F139" s="127"/>
      <c r="G139" s="16"/>
    </row>
    <row r="140" spans="2:7" ht="13.5" thickBot="1">
      <c r="B140" s="30" t="s">
        <v>89</v>
      </c>
      <c r="C140" s="31"/>
      <c r="D140" s="32"/>
      <c r="E140" s="32"/>
      <c r="F140" s="33"/>
      <c r="G140" s="16"/>
    </row>
    <row r="141" spans="2:7" ht="13.5" thickBot="1">
      <c r="B141" s="71"/>
      <c r="C141" s="72"/>
      <c r="D141" s="73"/>
      <c r="E141" s="73"/>
      <c r="F141" s="74"/>
      <c r="G141" s="16"/>
    </row>
    <row r="142" spans="2:7" ht="63.75">
      <c r="B142" s="96" t="s">
        <v>151</v>
      </c>
      <c r="C142" s="97">
        <v>1</v>
      </c>
      <c r="D142" s="98" t="s">
        <v>5</v>
      </c>
      <c r="E142" s="99">
        <f>4644823*0.84*0.5</f>
        <v>1950825.66</v>
      </c>
      <c r="F142" s="100">
        <f t="shared" ref="F142" si="3">C142*E142</f>
        <v>1950825.66</v>
      </c>
      <c r="G142" s="16"/>
    </row>
    <row r="143" spans="2:7">
      <c r="B143" s="53" t="s">
        <v>81</v>
      </c>
      <c r="C143" s="50">
        <v>1</v>
      </c>
      <c r="D143" s="51" t="s">
        <v>36</v>
      </c>
      <c r="E143" s="52">
        <f>301940</f>
        <v>301940</v>
      </c>
      <c r="F143" s="54">
        <f t="shared" ref="F143:F147" si="4">C143*E143</f>
        <v>301940</v>
      </c>
      <c r="G143" s="16"/>
    </row>
    <row r="144" spans="2:7">
      <c r="B144" s="53" t="s">
        <v>59</v>
      </c>
      <c r="C144" s="50">
        <v>1</v>
      </c>
      <c r="D144" s="51" t="s">
        <v>36</v>
      </c>
      <c r="E144" s="52">
        <f>D99*D100*1.1*1172*1.15*1.2</f>
        <v>1423276.8</v>
      </c>
      <c r="F144" s="54">
        <f t="shared" si="4"/>
        <v>1423276.8</v>
      </c>
      <c r="G144" s="16"/>
    </row>
    <row r="145" spans="1:9">
      <c r="B145" s="53" t="s">
        <v>60</v>
      </c>
      <c r="C145" s="50">
        <v>1</v>
      </c>
      <c r="D145" s="51" t="s">
        <v>21</v>
      </c>
      <c r="E145" s="52">
        <f>E127*0.08</f>
        <v>312132.10560000001</v>
      </c>
      <c r="F145" s="54">
        <f t="shared" si="4"/>
        <v>312132.10560000001</v>
      </c>
      <c r="G145" s="16"/>
    </row>
    <row r="146" spans="1:9">
      <c r="B146" s="53" t="s">
        <v>43</v>
      </c>
      <c r="C146" s="50">
        <v>1</v>
      </c>
      <c r="D146" s="51" t="s">
        <v>21</v>
      </c>
      <c r="E146" s="52">
        <v>24840</v>
      </c>
      <c r="F146" s="54">
        <f t="shared" si="4"/>
        <v>24840</v>
      </c>
      <c r="G146" s="16"/>
    </row>
    <row r="147" spans="1:9" ht="13.5" thickBot="1">
      <c r="B147" s="101" t="s">
        <v>61</v>
      </c>
      <c r="C147" s="102">
        <v>1</v>
      </c>
      <c r="D147" s="103" t="s">
        <v>36</v>
      </c>
      <c r="E147" s="104">
        <f>804307*0.65</f>
        <v>522799.55000000005</v>
      </c>
      <c r="F147" s="105">
        <f t="shared" si="4"/>
        <v>522799.55000000005</v>
      </c>
      <c r="G147" s="16"/>
    </row>
    <row r="148" spans="1:9" ht="13.5" thickBot="1">
      <c r="B148" s="22" t="s">
        <v>11</v>
      </c>
      <c r="C148" s="23"/>
      <c r="D148" s="24"/>
      <c r="E148" s="25"/>
      <c r="F148" s="26">
        <f>SUM(F142:F147)</f>
        <v>4535814.1156000001</v>
      </c>
      <c r="G148" s="16"/>
    </row>
    <row r="149" spans="1:9" ht="13.5" thickBot="1">
      <c r="B149" s="20" t="s">
        <v>4</v>
      </c>
      <c r="C149" s="19"/>
      <c r="D149" s="18"/>
      <c r="E149" s="19"/>
      <c r="F149" s="21">
        <f>F148*18/118</f>
        <v>691903.84814237291</v>
      </c>
      <c r="G149" s="16"/>
    </row>
    <row r="150" spans="1:9" ht="13.5" thickBot="1">
      <c r="B150" s="20" t="s">
        <v>38</v>
      </c>
      <c r="C150" s="19"/>
      <c r="D150" s="18">
        <v>75</v>
      </c>
      <c r="E150" s="19"/>
      <c r="F150" s="80">
        <f>F148/D150</f>
        <v>60477.521541333335</v>
      </c>
      <c r="G150" s="16"/>
    </row>
    <row r="151" spans="1:9" ht="25.5">
      <c r="B151" s="75" t="s">
        <v>57</v>
      </c>
      <c r="G151" s="16"/>
    </row>
    <row r="152" spans="1:9">
      <c r="B152" s="11" t="s">
        <v>37</v>
      </c>
      <c r="G152" s="16"/>
    </row>
    <row r="153" spans="1:9">
      <c r="B153" s="11" t="s">
        <v>76</v>
      </c>
      <c r="C153" s="57"/>
      <c r="D153" s="83"/>
      <c r="E153" s="125"/>
      <c r="F153" s="127"/>
      <c r="G153" s="16"/>
    </row>
    <row r="154" spans="1:9">
      <c r="C154" s="57"/>
      <c r="D154" s="83"/>
      <c r="E154" s="246"/>
      <c r="F154" s="244"/>
      <c r="G154" s="16"/>
    </row>
    <row r="155" spans="1:9" ht="13.5" thickBot="1">
      <c r="C155" s="57"/>
      <c r="D155" s="83"/>
      <c r="E155" s="246"/>
      <c r="F155" s="244"/>
      <c r="G155" s="16"/>
    </row>
    <row r="156" spans="1:9" s="78" customFormat="1" ht="31.5" thickBot="1">
      <c r="A156" s="76"/>
      <c r="B156" s="95" t="s">
        <v>191</v>
      </c>
      <c r="C156" s="93"/>
      <c r="D156" s="93"/>
      <c r="E156" s="93"/>
      <c r="F156" s="94"/>
      <c r="G156" s="77"/>
      <c r="I156" s="79"/>
    </row>
    <row r="157" spans="1:9" ht="16.5" thickBot="1">
      <c r="B157" s="81" t="s">
        <v>40</v>
      </c>
      <c r="C157" s="247"/>
      <c r="D157" s="14"/>
      <c r="E157" s="14"/>
      <c r="F157" s="82"/>
      <c r="G157" s="16"/>
    </row>
    <row r="158" spans="1:9" ht="87" customHeight="1" thickBot="1">
      <c r="B158" s="289" t="s">
        <v>192</v>
      </c>
      <c r="C158" s="290"/>
      <c r="D158" s="290"/>
      <c r="E158" s="290"/>
      <c r="F158" s="291"/>
      <c r="G158" s="16"/>
    </row>
    <row r="159" spans="1:9" ht="56.25" customHeight="1" thickBot="1">
      <c r="B159" s="297" t="s">
        <v>58</v>
      </c>
      <c r="C159" s="298"/>
      <c r="D159" s="298"/>
      <c r="E159" s="298"/>
      <c r="F159" s="299"/>
      <c r="G159" s="16"/>
    </row>
    <row r="160" spans="1:9">
      <c r="B160" s="90" t="s">
        <v>45</v>
      </c>
      <c r="C160" s="56"/>
      <c r="D160" s="86" t="s">
        <v>194</v>
      </c>
      <c r="E160" s="300"/>
      <c r="F160" s="301"/>
      <c r="G160" s="4"/>
    </row>
    <row r="161" spans="2:7">
      <c r="B161" s="17" t="s">
        <v>46</v>
      </c>
      <c r="C161" s="57"/>
      <c r="D161" s="83"/>
      <c r="E161" s="83"/>
      <c r="F161" s="85"/>
      <c r="G161" s="4"/>
    </row>
    <row r="162" spans="2:7">
      <c r="B162" s="17" t="s">
        <v>47</v>
      </c>
      <c r="C162" s="57" t="s">
        <v>48</v>
      </c>
      <c r="D162" s="87">
        <v>40</v>
      </c>
      <c r="E162" s="87"/>
      <c r="F162" s="58"/>
      <c r="G162" s="4"/>
    </row>
    <row r="163" spans="2:7">
      <c r="B163" s="17" t="s">
        <v>49</v>
      </c>
      <c r="C163" s="57" t="s">
        <v>48</v>
      </c>
      <c r="D163" s="87">
        <v>20</v>
      </c>
      <c r="E163" s="87"/>
      <c r="F163" s="58"/>
      <c r="G163" s="4"/>
    </row>
    <row r="164" spans="2:7">
      <c r="B164" s="17" t="s">
        <v>50</v>
      </c>
      <c r="C164" s="57" t="s">
        <v>25</v>
      </c>
      <c r="D164" s="87">
        <f>0.225*(D162*D163)</f>
        <v>180</v>
      </c>
      <c r="E164" s="87"/>
      <c r="F164" s="58"/>
      <c r="G164" s="4"/>
    </row>
    <row r="165" spans="2:7">
      <c r="B165" s="17" t="s">
        <v>51</v>
      </c>
      <c r="C165" s="57" t="s">
        <v>25</v>
      </c>
      <c r="D165" s="87">
        <f>0.15*(D162*D163)</f>
        <v>120</v>
      </c>
      <c r="E165" s="121"/>
      <c r="F165" s="116"/>
      <c r="G165" s="4"/>
    </row>
    <row r="166" spans="2:7" ht="12.75" customHeight="1">
      <c r="B166" s="17" t="s">
        <v>52</v>
      </c>
      <c r="C166" s="57"/>
      <c r="D166" s="121" t="s">
        <v>65</v>
      </c>
      <c r="E166" s="87"/>
      <c r="F166" s="58"/>
      <c r="G166" s="4"/>
    </row>
    <row r="167" spans="2:7">
      <c r="B167" s="17" t="s">
        <v>53</v>
      </c>
      <c r="C167" s="57" t="s">
        <v>24</v>
      </c>
      <c r="D167" s="87">
        <v>-10</v>
      </c>
      <c r="E167" s="87"/>
      <c r="F167" s="58"/>
      <c r="G167" s="4"/>
    </row>
    <row r="168" spans="2:7">
      <c r="B168" s="17" t="s">
        <v>54</v>
      </c>
      <c r="C168" s="57" t="s">
        <v>24</v>
      </c>
      <c r="D168" s="87">
        <v>-15</v>
      </c>
      <c r="E168" s="87"/>
      <c r="F168" s="58"/>
      <c r="G168" s="4"/>
    </row>
    <row r="169" spans="2:7">
      <c r="B169" s="17" t="s">
        <v>55</v>
      </c>
      <c r="C169" s="57" t="s">
        <v>26</v>
      </c>
      <c r="D169" s="83">
        <f>D164/(1060*3.5*(D167-D168))*3600</f>
        <v>34.932614555256066</v>
      </c>
      <c r="E169" s="83"/>
      <c r="F169" s="85"/>
      <c r="G169" s="4"/>
    </row>
    <row r="170" spans="2:7" ht="13.5" thickBot="1">
      <c r="B170" s="91" t="s">
        <v>56</v>
      </c>
      <c r="C170" s="88" t="s">
        <v>48</v>
      </c>
      <c r="D170" s="89">
        <v>20</v>
      </c>
      <c r="E170" s="89"/>
      <c r="F170" s="117"/>
      <c r="G170" s="4"/>
    </row>
    <row r="171" spans="2:7">
      <c r="B171" s="65"/>
      <c r="C171" s="59"/>
      <c r="D171" s="35"/>
      <c r="E171" s="84"/>
      <c r="F171" s="64"/>
      <c r="G171" s="35"/>
    </row>
    <row r="172" spans="2:7">
      <c r="B172" s="66" t="s">
        <v>66</v>
      </c>
      <c r="C172" s="295" t="s">
        <v>7</v>
      </c>
      <c r="D172" s="295"/>
      <c r="E172" s="55"/>
      <c r="F172" s="64"/>
      <c r="G172" s="245"/>
    </row>
    <row r="173" spans="2:7" ht="12.75" customHeight="1">
      <c r="B173" s="38" t="s">
        <v>8</v>
      </c>
      <c r="C173" s="67">
        <v>2</v>
      </c>
      <c r="D173" s="60" t="s">
        <v>193</v>
      </c>
      <c r="E173" s="274" t="s">
        <v>68</v>
      </c>
      <c r="F173" s="275"/>
      <c r="G173" s="60"/>
    </row>
    <row r="174" spans="2:7">
      <c r="B174" s="38" t="s">
        <v>69</v>
      </c>
      <c r="C174" s="277">
        <f>C173*96</f>
        <v>192</v>
      </c>
      <c r="D174" s="286"/>
      <c r="E174" s="246"/>
      <c r="F174" s="34"/>
      <c r="G174" s="118"/>
    </row>
    <row r="175" spans="2:7">
      <c r="B175" s="17" t="s">
        <v>9</v>
      </c>
      <c r="C175" s="57"/>
      <c r="D175" s="39" t="s">
        <v>64</v>
      </c>
      <c r="E175" s="246"/>
      <c r="F175" s="34"/>
      <c r="G175" s="119"/>
    </row>
    <row r="176" spans="2:7">
      <c r="B176" s="17" t="s">
        <v>10</v>
      </c>
      <c r="C176" s="57"/>
      <c r="D176" s="39">
        <f>C173*47.3+25*2</f>
        <v>144.6</v>
      </c>
      <c r="E176" s="246"/>
      <c r="F176" s="34"/>
      <c r="G176" s="119"/>
    </row>
    <row r="177" spans="2:7">
      <c r="B177" s="17" t="s">
        <v>27</v>
      </c>
      <c r="C177" s="57"/>
      <c r="D177" s="243">
        <f>(C174+D176)*1.21*1.05</f>
        <v>427.65030000000002</v>
      </c>
      <c r="E177" s="40"/>
      <c r="F177" s="34"/>
      <c r="G177" s="120"/>
    </row>
    <row r="178" spans="2:7">
      <c r="B178" s="68" t="s">
        <v>28</v>
      </c>
      <c r="C178" s="61" t="s">
        <v>29</v>
      </c>
      <c r="D178" s="62" t="s">
        <v>30</v>
      </c>
      <c r="E178" s="62"/>
      <c r="F178" s="122"/>
      <c r="G178" s="62"/>
    </row>
    <row r="179" spans="2:7">
      <c r="B179" s="65" t="s">
        <v>31</v>
      </c>
      <c r="C179" s="63">
        <v>42</v>
      </c>
      <c r="D179" s="4" t="s">
        <v>70</v>
      </c>
      <c r="E179" s="4"/>
      <c r="F179" s="64"/>
      <c r="G179" s="4"/>
    </row>
    <row r="180" spans="2:7">
      <c r="B180" s="65" t="s">
        <v>32</v>
      </c>
      <c r="C180" s="63"/>
      <c r="D180" s="4" t="s">
        <v>70</v>
      </c>
      <c r="E180" s="4"/>
      <c r="F180" s="64"/>
      <c r="G180" s="4"/>
    </row>
    <row r="181" spans="2:7">
      <c r="B181" s="65" t="s">
        <v>33</v>
      </c>
      <c r="C181" s="59"/>
      <c r="D181" s="35" t="s">
        <v>35</v>
      </c>
      <c r="E181" s="84"/>
      <c r="F181" s="64"/>
      <c r="G181" s="35"/>
    </row>
    <row r="182" spans="2:7" ht="13.5" thickBot="1">
      <c r="B182" s="41" t="s">
        <v>34</v>
      </c>
      <c r="C182" s="69">
        <v>67</v>
      </c>
      <c r="D182" s="70" t="s">
        <v>71</v>
      </c>
      <c r="E182" s="24"/>
      <c r="F182" s="29"/>
      <c r="G182" s="35"/>
    </row>
    <row r="183" spans="2:7">
      <c r="B183" s="244"/>
      <c r="C183" s="57"/>
      <c r="D183" s="83"/>
      <c r="E183" s="246"/>
      <c r="F183" s="244"/>
      <c r="G183" s="16"/>
    </row>
    <row r="184" spans="2:7">
      <c r="B184" s="244"/>
      <c r="C184" s="57"/>
      <c r="D184" s="83"/>
      <c r="E184" s="246"/>
      <c r="F184" s="244"/>
      <c r="G184" s="16"/>
    </row>
    <row r="185" spans="2:7" ht="38.25">
      <c r="B185" s="244" t="s">
        <v>79</v>
      </c>
      <c r="C185" s="57"/>
      <c r="D185" s="83"/>
      <c r="E185" s="246"/>
      <c r="F185" s="244"/>
      <c r="G185" s="16"/>
    </row>
    <row r="186" spans="2:7">
      <c r="B186" s="244"/>
      <c r="C186" s="57"/>
      <c r="D186" s="83"/>
      <c r="E186" s="246"/>
      <c r="F186" s="244"/>
      <c r="G186" s="16"/>
    </row>
    <row r="187" spans="2:7" ht="13.5" thickBot="1">
      <c r="B187" s="244"/>
      <c r="C187" s="57"/>
      <c r="D187" s="83"/>
      <c r="E187" s="246"/>
      <c r="F187" s="244"/>
      <c r="G187" s="16"/>
    </row>
    <row r="188" spans="2:7" ht="13.5" thickBot="1">
      <c r="B188" s="140" t="s">
        <v>83</v>
      </c>
      <c r="C188" s="141"/>
      <c r="D188" s="142"/>
      <c r="E188" s="142"/>
      <c r="F188" s="143"/>
      <c r="G188" s="16"/>
    </row>
    <row r="189" spans="2:7" ht="13.5" thickBot="1">
      <c r="B189" s="71"/>
      <c r="C189" s="72"/>
      <c r="D189" s="73"/>
      <c r="E189" s="73"/>
      <c r="F189" s="74"/>
      <c r="G189" s="16"/>
    </row>
    <row r="190" spans="2:7" ht="63.75">
      <c r="B190" s="96" t="s">
        <v>195</v>
      </c>
      <c r="C190" s="97">
        <v>1</v>
      </c>
      <c r="D190" s="98" t="s">
        <v>5</v>
      </c>
      <c r="E190" s="99">
        <f>4644823*0.85</f>
        <v>3948099.55</v>
      </c>
      <c r="F190" s="100">
        <f t="shared" ref="F190:F195" si="5">C190*E190</f>
        <v>3948099.55</v>
      </c>
      <c r="G190" s="16"/>
    </row>
    <row r="191" spans="2:7">
      <c r="B191" s="53" t="s">
        <v>197</v>
      </c>
      <c r="C191" s="50">
        <v>1</v>
      </c>
      <c r="D191" s="51" t="s">
        <v>36</v>
      </c>
      <c r="E191" s="52">
        <f>301940*1.8</f>
        <v>543492</v>
      </c>
      <c r="F191" s="54">
        <f t="shared" si="5"/>
        <v>543492</v>
      </c>
      <c r="G191" s="16"/>
    </row>
    <row r="192" spans="2:7">
      <c r="B192" s="53" t="s">
        <v>59</v>
      </c>
      <c r="C192" s="50">
        <v>1</v>
      </c>
      <c r="D192" s="51" t="s">
        <v>36</v>
      </c>
      <c r="E192" s="52">
        <f>D162*D163*1.1*1172*1.15*1.2</f>
        <v>1423276.8</v>
      </c>
      <c r="F192" s="54">
        <f t="shared" si="5"/>
        <v>1423276.8</v>
      </c>
      <c r="G192" s="16"/>
    </row>
    <row r="193" spans="2:7">
      <c r="B193" s="53" t="s">
        <v>60</v>
      </c>
      <c r="C193" s="50">
        <v>1</v>
      </c>
      <c r="D193" s="51" t="s">
        <v>21</v>
      </c>
      <c r="E193" s="52">
        <f>E190*0.11</f>
        <v>434290.95049999998</v>
      </c>
      <c r="F193" s="54">
        <f t="shared" si="5"/>
        <v>434290.95049999998</v>
      </c>
      <c r="G193" s="16"/>
    </row>
    <row r="194" spans="2:7">
      <c r="B194" s="53" t="s">
        <v>43</v>
      </c>
      <c r="C194" s="50">
        <v>1</v>
      </c>
      <c r="D194" s="51" t="s">
        <v>21</v>
      </c>
      <c r="E194" s="52">
        <v>24840</v>
      </c>
      <c r="F194" s="54">
        <f t="shared" si="5"/>
        <v>24840</v>
      </c>
      <c r="G194" s="16"/>
    </row>
    <row r="195" spans="2:7" ht="13.5" thickBot="1">
      <c r="B195" s="101" t="s">
        <v>61</v>
      </c>
      <c r="C195" s="102">
        <v>1</v>
      </c>
      <c r="D195" s="103" t="s">
        <v>36</v>
      </c>
      <c r="E195" s="104">
        <f>804307*0.65</f>
        <v>522799.55000000005</v>
      </c>
      <c r="F195" s="105">
        <f t="shared" si="5"/>
        <v>522799.55000000005</v>
      </c>
      <c r="G195" s="16"/>
    </row>
    <row r="196" spans="2:7" ht="13.5" thickBot="1">
      <c r="B196" s="22" t="s">
        <v>11</v>
      </c>
      <c r="C196" s="23"/>
      <c r="D196" s="24"/>
      <c r="E196" s="25"/>
      <c r="F196" s="26">
        <f>SUM(F190:F195)</f>
        <v>6896798.8504999997</v>
      </c>
      <c r="G196" s="16"/>
    </row>
    <row r="197" spans="2:7" ht="13.5" thickBot="1">
      <c r="B197" s="20" t="s">
        <v>4</v>
      </c>
      <c r="C197" s="19"/>
      <c r="D197" s="18"/>
      <c r="E197" s="19"/>
      <c r="F197" s="21">
        <f>F196*18/118</f>
        <v>1052054.0619406779</v>
      </c>
      <c r="G197" s="16"/>
    </row>
    <row r="198" spans="2:7" ht="13.5" thickBot="1">
      <c r="B198" s="20" t="s">
        <v>38</v>
      </c>
      <c r="C198" s="19"/>
      <c r="D198" s="18">
        <v>75</v>
      </c>
      <c r="E198" s="19"/>
      <c r="F198" s="80">
        <f>F196/D198</f>
        <v>91957.318006666668</v>
      </c>
      <c r="G198" s="16"/>
    </row>
    <row r="199" spans="2:7" ht="25.5">
      <c r="B199" s="75" t="s">
        <v>57</v>
      </c>
      <c r="G199" s="16"/>
    </row>
    <row r="200" spans="2:7">
      <c r="B200" s="11" t="s">
        <v>37</v>
      </c>
      <c r="G200" s="16"/>
    </row>
    <row r="201" spans="2:7">
      <c r="B201" s="11" t="s">
        <v>196</v>
      </c>
      <c r="C201" s="57"/>
      <c r="D201" s="83"/>
      <c r="E201" s="246"/>
      <c r="F201" s="244"/>
      <c r="G201" s="16"/>
    </row>
    <row r="202" spans="2:7">
      <c r="C202" s="57"/>
      <c r="D202" s="83"/>
      <c r="E202" s="246"/>
      <c r="F202" s="244"/>
      <c r="G202" s="16"/>
    </row>
    <row r="203" spans="2:7">
      <c r="C203" s="57"/>
      <c r="D203" s="83"/>
      <c r="E203" s="246"/>
      <c r="F203" s="244"/>
      <c r="G203" s="16"/>
    </row>
    <row r="204" spans="2:7">
      <c r="C204" s="57"/>
      <c r="D204" s="83"/>
      <c r="E204" s="246"/>
      <c r="F204" s="244"/>
      <c r="G204" s="16"/>
    </row>
    <row r="205" spans="2:7">
      <c r="C205" s="57"/>
      <c r="D205" s="83"/>
      <c r="E205" s="246"/>
      <c r="F205" s="244"/>
      <c r="G205" s="16"/>
    </row>
    <row r="206" spans="2:7">
      <c r="C206" s="57"/>
      <c r="D206" s="83"/>
      <c r="E206" s="246"/>
      <c r="F206" s="244"/>
      <c r="G206" s="16"/>
    </row>
    <row r="207" spans="2:7">
      <c r="C207" s="57"/>
      <c r="D207" s="83"/>
      <c r="E207" s="246"/>
      <c r="F207" s="244"/>
      <c r="G207" s="16"/>
    </row>
    <row r="208" spans="2:7">
      <c r="C208" s="57"/>
      <c r="D208" s="83"/>
      <c r="E208" s="246"/>
      <c r="F208" s="244"/>
      <c r="G208" s="16"/>
    </row>
    <row r="209" spans="3:7">
      <c r="C209" s="57"/>
      <c r="D209" s="83"/>
      <c r="E209" s="246"/>
      <c r="F209" s="244"/>
      <c r="G209" s="16"/>
    </row>
    <row r="210" spans="3:7">
      <c r="C210" s="57"/>
      <c r="D210" s="83"/>
      <c r="E210" s="246"/>
      <c r="F210" s="244"/>
      <c r="G210" s="16"/>
    </row>
    <row r="211" spans="3:7">
      <c r="C211" s="57"/>
      <c r="D211" s="83"/>
      <c r="E211" s="246"/>
      <c r="F211" s="244"/>
      <c r="G211" s="16"/>
    </row>
    <row r="212" spans="3:7">
      <c r="C212" s="57"/>
      <c r="D212" s="83"/>
      <c r="E212" s="246"/>
      <c r="F212" s="244"/>
      <c r="G212" s="16"/>
    </row>
    <row r="213" spans="3:7">
      <c r="C213" s="57"/>
      <c r="D213" s="83"/>
      <c r="E213" s="246"/>
      <c r="F213" s="244"/>
      <c r="G213" s="16"/>
    </row>
    <row r="214" spans="3:7">
      <c r="C214" s="57"/>
      <c r="D214" s="83"/>
      <c r="E214" s="246"/>
      <c r="F214" s="244"/>
      <c r="G214" s="16"/>
    </row>
    <row r="215" spans="3:7">
      <c r="C215" s="57"/>
      <c r="D215" s="83"/>
      <c r="E215" s="246"/>
      <c r="F215" s="244"/>
      <c r="G215" s="16"/>
    </row>
    <row r="216" spans="3:7">
      <c r="C216" s="57"/>
      <c r="D216" s="83"/>
      <c r="E216" s="246"/>
      <c r="F216" s="244"/>
      <c r="G216" s="16"/>
    </row>
    <row r="217" spans="3:7">
      <c r="C217" s="57"/>
      <c r="D217" s="83"/>
      <c r="E217" s="246"/>
      <c r="F217" s="244"/>
      <c r="G217" s="16"/>
    </row>
    <row r="218" spans="3:7">
      <c r="C218" s="57"/>
      <c r="D218" s="83"/>
      <c r="E218" s="246"/>
      <c r="F218" s="244"/>
      <c r="G218" s="16"/>
    </row>
    <row r="219" spans="3:7">
      <c r="C219" s="57"/>
      <c r="D219" s="83"/>
      <c r="E219" s="246"/>
      <c r="F219" s="244"/>
      <c r="G219" s="16"/>
    </row>
    <row r="220" spans="3:7">
      <c r="C220" s="57"/>
      <c r="D220" s="83"/>
      <c r="E220" s="246"/>
      <c r="F220" s="244"/>
      <c r="G220" s="16"/>
    </row>
    <row r="221" spans="3:7">
      <c r="C221" s="57"/>
      <c r="D221" s="83"/>
      <c r="E221" s="246"/>
      <c r="F221" s="244"/>
      <c r="G221" s="16"/>
    </row>
    <row r="222" spans="3:7">
      <c r="C222" s="57"/>
      <c r="D222" s="83"/>
      <c r="E222" s="246"/>
      <c r="F222" s="244"/>
      <c r="G222" s="16"/>
    </row>
    <row r="223" spans="3:7">
      <c r="C223" s="57"/>
      <c r="D223" s="83"/>
      <c r="E223" s="246"/>
      <c r="F223" s="244"/>
      <c r="G223" s="16"/>
    </row>
    <row r="224" spans="3:7">
      <c r="C224" s="57"/>
      <c r="D224" s="83"/>
      <c r="E224" s="246"/>
      <c r="F224" s="244"/>
      <c r="G224" s="16"/>
    </row>
    <row r="225" spans="3:7">
      <c r="C225" s="57"/>
      <c r="D225" s="83"/>
      <c r="E225" s="246"/>
      <c r="F225" s="244"/>
      <c r="G225" s="16"/>
    </row>
    <row r="226" spans="3:7">
      <c r="C226" s="57"/>
      <c r="D226" s="83"/>
      <c r="E226" s="246"/>
      <c r="F226" s="244"/>
      <c r="G226" s="16"/>
    </row>
    <row r="227" spans="3:7">
      <c r="C227" s="57"/>
      <c r="D227" s="83"/>
      <c r="E227" s="246"/>
      <c r="F227" s="244"/>
      <c r="G227" s="16"/>
    </row>
    <row r="228" spans="3:7">
      <c r="C228" s="57"/>
      <c r="D228" s="83"/>
      <c r="E228" s="246"/>
      <c r="F228" s="244"/>
      <c r="G228" s="16"/>
    </row>
    <row r="229" spans="3:7">
      <c r="C229" s="57"/>
      <c r="D229" s="83"/>
      <c r="E229" s="246"/>
      <c r="F229" s="244"/>
      <c r="G229" s="16"/>
    </row>
    <row r="230" spans="3:7">
      <c r="C230" s="57"/>
      <c r="D230" s="83"/>
      <c r="E230" s="246"/>
      <c r="F230" s="244"/>
      <c r="G230" s="16"/>
    </row>
    <row r="231" spans="3:7">
      <c r="C231" s="57"/>
      <c r="D231" s="83"/>
      <c r="E231" s="246"/>
      <c r="F231" s="244"/>
      <c r="G231" s="16"/>
    </row>
    <row r="232" spans="3:7">
      <c r="C232" s="57"/>
      <c r="D232" s="83"/>
      <c r="E232" s="246"/>
      <c r="F232" s="244"/>
      <c r="G232" s="16"/>
    </row>
    <row r="233" spans="3:7">
      <c r="C233" s="57"/>
      <c r="D233" s="83"/>
      <c r="E233" s="246"/>
      <c r="F233" s="244"/>
      <c r="G233" s="16"/>
    </row>
    <row r="234" spans="3:7">
      <c r="C234" s="57"/>
      <c r="D234" s="83"/>
      <c r="E234" s="246"/>
      <c r="F234" s="244"/>
      <c r="G234" s="16"/>
    </row>
    <row r="235" spans="3:7">
      <c r="C235" s="57"/>
      <c r="D235" s="83"/>
      <c r="E235" s="246"/>
      <c r="F235" s="244"/>
      <c r="G235" s="16"/>
    </row>
    <row r="236" spans="3:7">
      <c r="C236" s="57"/>
      <c r="D236" s="83"/>
      <c r="E236" s="246"/>
      <c r="F236" s="244"/>
      <c r="G236" s="16"/>
    </row>
    <row r="237" spans="3:7">
      <c r="C237" s="57"/>
      <c r="D237" s="83"/>
      <c r="E237" s="246"/>
      <c r="F237" s="244"/>
      <c r="G237" s="16"/>
    </row>
    <row r="238" spans="3:7">
      <c r="C238" s="57"/>
      <c r="D238" s="83"/>
      <c r="E238" s="246"/>
      <c r="F238" s="244"/>
      <c r="G238" s="16"/>
    </row>
    <row r="239" spans="3:7">
      <c r="C239" s="57"/>
      <c r="D239" s="83"/>
      <c r="E239" s="246"/>
      <c r="F239" s="244"/>
      <c r="G239" s="16"/>
    </row>
    <row r="240" spans="3:7">
      <c r="C240" s="57"/>
      <c r="D240" s="83"/>
      <c r="E240" s="246"/>
      <c r="F240" s="244"/>
      <c r="G240" s="16"/>
    </row>
    <row r="241" spans="2:7">
      <c r="C241" s="57"/>
      <c r="D241" s="83"/>
      <c r="E241" s="246"/>
      <c r="F241" s="244"/>
      <c r="G241" s="16"/>
    </row>
    <row r="242" spans="2:7">
      <c r="C242" s="57"/>
      <c r="D242" s="83"/>
      <c r="E242" s="246"/>
      <c r="F242" s="244"/>
      <c r="G242" s="16"/>
    </row>
    <row r="243" spans="2:7">
      <c r="C243" s="57"/>
      <c r="D243" s="83"/>
      <c r="E243" s="246"/>
      <c r="F243" s="244"/>
      <c r="G243" s="16"/>
    </row>
    <row r="244" spans="2:7">
      <c r="C244" s="57"/>
      <c r="D244" s="83"/>
      <c r="E244" s="246"/>
      <c r="F244" s="244"/>
      <c r="G244" s="16"/>
    </row>
    <row r="245" spans="2:7">
      <c r="C245" s="57"/>
      <c r="D245" s="83"/>
      <c r="E245" s="246"/>
      <c r="F245" s="244"/>
      <c r="G245" s="16"/>
    </row>
    <row r="246" spans="2:7">
      <c r="C246" s="57"/>
      <c r="D246" s="83"/>
      <c r="E246" s="246"/>
      <c r="F246" s="244"/>
      <c r="G246" s="16"/>
    </row>
    <row r="247" spans="2:7" ht="13.5" thickBot="1"/>
    <row r="248" spans="2:7" ht="25.5">
      <c r="B248" s="209" t="s">
        <v>152</v>
      </c>
      <c r="C248" s="210">
        <v>1500</v>
      </c>
      <c r="D248" s="211">
        <v>3000</v>
      </c>
      <c r="E248" s="10">
        <v>1800</v>
      </c>
    </row>
    <row r="249" spans="2:7" ht="13.5" thickBot="1">
      <c r="B249" s="212" t="s">
        <v>153</v>
      </c>
      <c r="C249" s="25">
        <v>2400</v>
      </c>
      <c r="D249" s="24">
        <v>6000</v>
      </c>
      <c r="E249" s="29">
        <v>2400</v>
      </c>
    </row>
    <row r="251" spans="2:7">
      <c r="B251" s="11" t="s">
        <v>149</v>
      </c>
      <c r="C251" s="213" t="s">
        <v>150</v>
      </c>
      <c r="D251" s="214"/>
      <c r="E251" s="12" t="s">
        <v>157</v>
      </c>
    </row>
    <row r="321" spans="2:5">
      <c r="B321" s="11" t="s">
        <v>154</v>
      </c>
      <c r="C321" s="213" t="s">
        <v>155</v>
      </c>
      <c r="E321" s="12" t="s">
        <v>156</v>
      </c>
    </row>
  </sheetData>
  <mergeCells count="36">
    <mergeCell ref="C174:D174"/>
    <mergeCell ref="B158:F158"/>
    <mergeCell ref="B159:F159"/>
    <mergeCell ref="E160:F160"/>
    <mergeCell ref="C172:D172"/>
    <mergeCell ref="E173:F173"/>
    <mergeCell ref="B96:F96"/>
    <mergeCell ref="E97:F97"/>
    <mergeCell ref="C109:D109"/>
    <mergeCell ref="E110:F110"/>
    <mergeCell ref="C111:D111"/>
    <mergeCell ref="E48:F48"/>
    <mergeCell ref="C49:D49"/>
    <mergeCell ref="B30:F30"/>
    <mergeCell ref="B33:F33"/>
    <mergeCell ref="B34:F34"/>
    <mergeCell ref="C47:D47"/>
    <mergeCell ref="E35:F35"/>
    <mergeCell ref="C23:F23"/>
    <mergeCell ref="B24:D24"/>
    <mergeCell ref="B25:F25"/>
    <mergeCell ref="B26:F26"/>
    <mergeCell ref="C28:D28"/>
    <mergeCell ref="E28:F28"/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2"/>
  <sheetViews>
    <sheetView topLeftCell="A35" zoomScaleNormal="100" zoomScaleSheetLayoutView="100" workbookViewId="0">
      <selection activeCell="C54" sqref="C54:D54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0.7109375" style="12" customWidth="1"/>
    <col min="6" max="6" width="12.42578125" style="12" customWidth="1"/>
    <col min="7" max="7" width="8.7109375" style="144" customWidth="1"/>
    <col min="8" max="8" width="8.7109375" style="13" customWidth="1"/>
    <col min="9" max="9" width="6.85546875" style="13" customWidth="1"/>
    <col min="10" max="10" width="9.140625" style="11" customWidth="1"/>
    <col min="11" max="11" width="11.7109375" style="12" customWidth="1"/>
    <col min="12" max="12" width="9.140625" style="11" customWidth="1"/>
    <col min="13" max="13" width="12.140625" style="11" customWidth="1"/>
    <col min="14" max="15" width="9.140625" style="11" customWidth="1"/>
    <col min="16" max="16" width="11.28515625" style="11" hidden="1" customWidth="1"/>
    <col min="17" max="17" width="9.140625" style="11" hidden="1" customWidth="1"/>
    <col min="18" max="18" width="3" style="11" hidden="1" customWidth="1"/>
    <col min="19" max="19" width="0" style="11" hidden="1" customWidth="1"/>
    <col min="20" max="22" width="9.140625" style="11" hidden="1" customWidth="1"/>
    <col min="23" max="24" width="0" style="11" hidden="1" customWidth="1"/>
    <col min="25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132"/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144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127"/>
      <c r="D9" s="127"/>
      <c r="E9" s="127"/>
      <c r="F9" s="127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125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125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125"/>
      <c r="F15" s="34"/>
      <c r="G15" s="15"/>
      <c r="H15" s="16"/>
      <c r="I15" s="16"/>
    </row>
    <row r="16" spans="1:11" hidden="1">
      <c r="B16" s="17" t="s">
        <v>10</v>
      </c>
      <c r="C16" s="43"/>
      <c r="D16" s="126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131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131"/>
      <c r="C20" s="46"/>
      <c r="D20" s="15"/>
      <c r="E20" s="55"/>
      <c r="F20" s="27"/>
      <c r="G20" s="15"/>
      <c r="H20" s="16"/>
      <c r="I20" s="16"/>
    </row>
    <row r="21" spans="1:11">
      <c r="B21" s="131"/>
      <c r="C21" s="46"/>
      <c r="D21" s="15"/>
      <c r="E21" s="55"/>
      <c r="F21" s="27"/>
      <c r="G21" s="15"/>
      <c r="H21" s="16"/>
      <c r="I21" s="16"/>
    </row>
    <row r="22" spans="1:11" ht="148.5" customHeight="1">
      <c r="B22" s="131"/>
      <c r="C22" s="46"/>
      <c r="D22" s="35"/>
      <c r="E22" s="4"/>
      <c r="F22" s="27"/>
      <c r="G22" s="15"/>
      <c r="H22" s="16"/>
      <c r="I22" s="16"/>
    </row>
    <row r="23" spans="1:11" ht="175.5" customHeight="1">
      <c r="B23" s="131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ht="13.5" thickBot="1"/>
    <row r="28" spans="1:11" s="78" customFormat="1" ht="34.5" customHeight="1" thickBot="1">
      <c r="A28" s="76"/>
      <c r="B28" s="92" t="s">
        <v>80</v>
      </c>
      <c r="C28" s="282"/>
      <c r="D28" s="283"/>
      <c r="E28" s="284"/>
      <c r="F28" s="285"/>
      <c r="G28" s="145"/>
      <c r="H28" s="77"/>
      <c r="I28" s="77"/>
      <c r="K28" s="79"/>
    </row>
    <row r="29" spans="1:11" s="78" customFormat="1" ht="23.25">
      <c r="A29" s="76"/>
      <c r="B29" s="129" t="s">
        <v>62</v>
      </c>
      <c r="C29" s="130"/>
      <c r="D29" s="130"/>
      <c r="E29" s="130"/>
      <c r="F29" s="130"/>
      <c r="G29" s="145"/>
      <c r="H29" s="77"/>
      <c r="I29" s="77"/>
      <c r="K29" s="79"/>
    </row>
    <row r="30" spans="1:11" s="78" customFormat="1" ht="122.25" customHeight="1" thickBot="1">
      <c r="A30" s="76"/>
      <c r="B30" s="287" t="s">
        <v>140</v>
      </c>
      <c r="C30" s="288"/>
      <c r="D30" s="288"/>
      <c r="E30" s="288"/>
      <c r="F30" s="288"/>
      <c r="G30" s="145"/>
      <c r="H30" s="77"/>
      <c r="I30" s="77"/>
      <c r="K30" s="79"/>
    </row>
    <row r="31" spans="1:11" s="78" customFormat="1" ht="24" thickBot="1">
      <c r="A31" s="76"/>
      <c r="B31" s="95" t="s">
        <v>74</v>
      </c>
      <c r="C31" s="93"/>
      <c r="D31" s="93"/>
      <c r="E31" s="93"/>
      <c r="F31" s="94"/>
      <c r="G31" s="145"/>
      <c r="H31" s="77"/>
      <c r="I31" s="77"/>
      <c r="K31" s="79"/>
    </row>
    <row r="32" spans="1:11" ht="16.5" thickBot="1">
      <c r="B32" s="81" t="s">
        <v>40</v>
      </c>
      <c r="C32" s="129"/>
      <c r="D32" s="14"/>
      <c r="E32" s="14"/>
      <c r="F32" s="82"/>
      <c r="G32" s="15"/>
      <c r="H32" s="16"/>
      <c r="I32" s="16"/>
    </row>
    <row r="33" spans="2:9" ht="57.75" customHeight="1" thickBot="1">
      <c r="B33" s="289" t="s">
        <v>92</v>
      </c>
      <c r="C33" s="290"/>
      <c r="D33" s="290"/>
      <c r="E33" s="290"/>
      <c r="F33" s="291"/>
      <c r="G33" s="15"/>
      <c r="H33" s="16"/>
      <c r="I33" s="16"/>
    </row>
    <row r="34" spans="2:9" ht="56.25" hidden="1" customHeight="1">
      <c r="B34" s="292" t="s">
        <v>58</v>
      </c>
      <c r="C34" s="293"/>
      <c r="D34" s="293"/>
      <c r="E34" s="293"/>
      <c r="F34" s="294"/>
      <c r="G34" s="15"/>
      <c r="H34" s="16"/>
      <c r="I34" s="16"/>
    </row>
    <row r="35" spans="2:9">
      <c r="B35" s="90" t="s">
        <v>45</v>
      </c>
      <c r="C35" s="56"/>
      <c r="D35" s="86" t="s">
        <v>64</v>
      </c>
      <c r="E35" s="37"/>
      <c r="F35" s="146"/>
      <c r="G35" s="55"/>
      <c r="H35" s="4"/>
      <c r="I35" s="16"/>
    </row>
    <row r="36" spans="2:9">
      <c r="B36" s="17" t="s">
        <v>46</v>
      </c>
      <c r="C36" s="57"/>
      <c r="D36" s="83"/>
      <c r="E36" s="83"/>
      <c r="F36" s="85"/>
      <c r="G36" s="83"/>
      <c r="H36" s="4"/>
      <c r="I36" s="16"/>
    </row>
    <row r="37" spans="2:9">
      <c r="B37" s="17" t="s">
        <v>47</v>
      </c>
      <c r="C37" s="57" t="s">
        <v>48</v>
      </c>
      <c r="D37" s="87">
        <v>20</v>
      </c>
      <c r="E37" s="87"/>
      <c r="F37" s="58"/>
      <c r="G37" s="87"/>
      <c r="H37" s="4"/>
      <c r="I37" s="16"/>
    </row>
    <row r="38" spans="2:9" ht="13.5" thickBot="1">
      <c r="B38" s="17" t="s">
        <v>49</v>
      </c>
      <c r="C38" s="57" t="s">
        <v>48</v>
      </c>
      <c r="D38" s="87">
        <v>45</v>
      </c>
      <c r="E38" s="87"/>
      <c r="F38" s="58"/>
      <c r="G38" s="87"/>
      <c r="H38" s="4"/>
      <c r="I38" s="16"/>
    </row>
    <row r="39" spans="2:9" ht="25.5">
      <c r="B39" s="199" t="s">
        <v>50</v>
      </c>
      <c r="C39" s="157" t="s">
        <v>25</v>
      </c>
      <c r="D39" s="195">
        <f>0.225*(D37*D38)</f>
        <v>202.5</v>
      </c>
      <c r="E39" s="195"/>
      <c r="F39" s="196"/>
      <c r="G39" s="87"/>
      <c r="H39" s="4"/>
      <c r="I39" s="16"/>
    </row>
    <row r="40" spans="2:9" ht="13.5" thickBot="1">
      <c r="B40" s="200" t="s">
        <v>51</v>
      </c>
      <c r="C40" s="162" t="s">
        <v>25</v>
      </c>
      <c r="D40" s="197">
        <f>0.15*(D37*D38)</f>
        <v>135</v>
      </c>
      <c r="E40" s="197"/>
      <c r="F40" s="198"/>
      <c r="G40" s="121"/>
      <c r="H40" s="4"/>
      <c r="I40" s="16"/>
    </row>
    <row r="41" spans="2:9" ht="25.5">
      <c r="B41" s="17" t="s">
        <v>52</v>
      </c>
      <c r="C41" s="57"/>
      <c r="D41" s="121" t="s">
        <v>65</v>
      </c>
      <c r="E41" s="87"/>
      <c r="F41" s="58"/>
      <c r="G41" s="87"/>
      <c r="H41" s="4"/>
      <c r="I41" s="16"/>
    </row>
    <row r="42" spans="2:9">
      <c r="B42" s="17" t="s">
        <v>93</v>
      </c>
      <c r="C42" s="57" t="s">
        <v>94</v>
      </c>
      <c r="D42" s="121">
        <v>3.2</v>
      </c>
      <c r="E42" s="87"/>
      <c r="F42" s="58"/>
      <c r="G42" s="87"/>
      <c r="H42" s="4"/>
      <c r="I42" s="16"/>
    </row>
    <row r="43" spans="2:9">
      <c r="B43" s="17" t="s">
        <v>95</v>
      </c>
      <c r="C43" s="57" t="s">
        <v>96</v>
      </c>
      <c r="D43" s="121">
        <v>1090</v>
      </c>
      <c r="E43" s="87"/>
      <c r="F43" s="58"/>
      <c r="G43" s="87"/>
      <c r="H43" s="4"/>
      <c r="I43" s="16"/>
    </row>
    <row r="44" spans="2:9">
      <c r="B44" s="17" t="s">
        <v>53</v>
      </c>
      <c r="C44" s="57" t="s">
        <v>24</v>
      </c>
      <c r="D44" s="87">
        <v>-8</v>
      </c>
      <c r="E44" s="87"/>
      <c r="F44" s="58"/>
      <c r="G44" s="87"/>
      <c r="H44" s="4"/>
      <c r="I44" s="16"/>
    </row>
    <row r="45" spans="2:9" ht="12.75" hidden="1" customHeight="1">
      <c r="B45" s="17" t="s">
        <v>54</v>
      </c>
      <c r="C45" s="57" t="s">
        <v>24</v>
      </c>
      <c r="D45" s="87">
        <v>-13</v>
      </c>
      <c r="E45" s="87"/>
      <c r="F45" s="58"/>
      <c r="G45" s="87"/>
      <c r="H45" s="4"/>
      <c r="I45" s="16"/>
    </row>
    <row r="46" spans="2:9" ht="13.5" hidden="1" customHeight="1">
      <c r="B46" s="17" t="s">
        <v>55</v>
      </c>
      <c r="C46" s="57" t="s">
        <v>26</v>
      </c>
      <c r="D46" s="83">
        <f>D39/(D43*D42*(D44-D45))*3600</f>
        <v>41.800458715596328</v>
      </c>
      <c r="E46" s="83"/>
      <c r="F46" s="85"/>
      <c r="G46" s="83"/>
      <c r="H46" s="4"/>
      <c r="I46" s="16"/>
    </row>
    <row r="47" spans="2:9">
      <c r="B47" s="17" t="s">
        <v>56</v>
      </c>
      <c r="C47" s="57" t="s">
        <v>48</v>
      </c>
      <c r="D47" s="83">
        <v>20</v>
      </c>
      <c r="E47" s="83"/>
      <c r="F47" s="85"/>
      <c r="G47" s="83"/>
      <c r="H47" s="4"/>
      <c r="I47" s="16"/>
    </row>
    <row r="48" spans="2:9">
      <c r="B48" s="17" t="s">
        <v>97</v>
      </c>
      <c r="C48" s="57" t="s">
        <v>98</v>
      </c>
      <c r="D48" s="83">
        <f>SQRT(4*D46/(3.14*1.5*3600))*1000</f>
        <v>99.302187505641569</v>
      </c>
      <c r="E48" s="83"/>
      <c r="F48" s="85"/>
      <c r="G48" s="83"/>
      <c r="H48" s="4"/>
      <c r="I48" s="16"/>
    </row>
    <row r="49" spans="2:11">
      <c r="B49" s="17"/>
      <c r="C49" s="57"/>
      <c r="D49" s="83"/>
      <c r="E49" s="83"/>
      <c r="F49" s="85"/>
      <c r="G49" s="83"/>
      <c r="H49" s="4"/>
      <c r="I49" s="16"/>
    </row>
    <row r="50" spans="2:11">
      <c r="B50" s="17"/>
      <c r="C50" s="57"/>
      <c r="D50" s="83"/>
      <c r="E50" s="83"/>
      <c r="F50" s="85"/>
      <c r="G50" s="83"/>
      <c r="H50" s="4"/>
      <c r="I50" s="16"/>
    </row>
    <row r="51" spans="2:11">
      <c r="B51" s="147" t="s">
        <v>99</v>
      </c>
      <c r="C51" s="59"/>
      <c r="D51" s="35"/>
      <c r="E51" s="84"/>
      <c r="F51" s="64"/>
      <c r="G51" s="59"/>
      <c r="H51" s="35"/>
      <c r="I51" s="16"/>
    </row>
    <row r="52" spans="2:11">
      <c r="B52" s="66" t="s">
        <v>6</v>
      </c>
      <c r="C52" s="295" t="s">
        <v>7</v>
      </c>
      <c r="D52" s="295"/>
      <c r="E52" s="55"/>
      <c r="F52" s="64"/>
      <c r="G52" s="295"/>
      <c r="H52" s="295"/>
      <c r="I52" s="16"/>
    </row>
    <row r="53" spans="2:11">
      <c r="B53" s="38" t="s">
        <v>8</v>
      </c>
      <c r="C53" s="67">
        <v>1</v>
      </c>
      <c r="D53" s="60" t="s">
        <v>141</v>
      </c>
      <c r="E53" s="274" t="s">
        <v>100</v>
      </c>
      <c r="F53" s="275"/>
      <c r="G53" s="67"/>
      <c r="H53" s="60"/>
      <c r="I53" s="16"/>
    </row>
    <row r="54" spans="2:11">
      <c r="B54" s="38" t="s">
        <v>101</v>
      </c>
      <c r="C54" s="277">
        <v>129</v>
      </c>
      <c r="D54" s="286"/>
      <c r="E54" s="125"/>
      <c r="F54" s="34"/>
      <c r="G54" s="277"/>
      <c r="H54" s="286"/>
      <c r="I54" s="16"/>
    </row>
    <row r="55" spans="2:11">
      <c r="B55" s="17" t="s">
        <v>9</v>
      </c>
      <c r="C55" s="57"/>
      <c r="D55" s="39" t="s">
        <v>102</v>
      </c>
      <c r="E55" s="125"/>
      <c r="F55" s="34"/>
      <c r="G55" s="57"/>
      <c r="H55" s="39"/>
      <c r="I55" s="16"/>
    </row>
    <row r="56" spans="2:11">
      <c r="B56" s="17" t="s">
        <v>10</v>
      </c>
      <c r="C56" s="57"/>
      <c r="D56" s="39">
        <v>79</v>
      </c>
      <c r="E56" s="125"/>
      <c r="F56" s="34"/>
      <c r="G56" s="57"/>
      <c r="H56" s="39"/>
      <c r="I56" s="16"/>
    </row>
    <row r="57" spans="2:11">
      <c r="B57" s="17" t="s">
        <v>27</v>
      </c>
      <c r="C57" s="57"/>
      <c r="D57" s="126">
        <f>(C54+D56)*1.21*1.15</f>
        <v>289.43199999999996</v>
      </c>
      <c r="E57" s="40"/>
      <c r="F57" s="34"/>
      <c r="G57" s="57"/>
      <c r="H57" s="126"/>
      <c r="I57" s="16"/>
    </row>
    <row r="58" spans="2:11">
      <c r="B58" s="68" t="s">
        <v>28</v>
      </c>
      <c r="C58" s="61" t="s">
        <v>29</v>
      </c>
      <c r="D58" s="62" t="s">
        <v>30</v>
      </c>
      <c r="E58" s="62"/>
      <c r="F58" s="122"/>
      <c r="G58" s="61"/>
      <c r="H58" s="62"/>
      <c r="I58" s="16"/>
    </row>
    <row r="59" spans="2:11">
      <c r="B59" s="65" t="s">
        <v>31</v>
      </c>
      <c r="C59" s="63">
        <v>54</v>
      </c>
      <c r="D59" s="4">
        <v>54</v>
      </c>
      <c r="E59" s="4"/>
      <c r="F59" s="64"/>
      <c r="G59" s="63"/>
      <c r="H59" s="4"/>
      <c r="I59" s="16"/>
    </row>
    <row r="60" spans="2:11">
      <c r="B60" s="65" t="s">
        <v>32</v>
      </c>
      <c r="C60" s="63"/>
      <c r="D60" s="4">
        <v>42</v>
      </c>
      <c r="E60" s="4"/>
      <c r="F60" s="64"/>
      <c r="G60" s="63"/>
      <c r="H60" s="4"/>
      <c r="I60" s="16"/>
    </row>
    <row r="61" spans="2:11">
      <c r="B61" s="65" t="s">
        <v>33</v>
      </c>
      <c r="C61" s="59"/>
      <c r="D61" s="35">
        <v>35</v>
      </c>
      <c r="E61" s="84"/>
      <c r="F61" s="64"/>
      <c r="G61" s="59"/>
      <c r="H61" s="35"/>
      <c r="I61" s="16"/>
    </row>
    <row r="62" spans="2:11" ht="13.5" thickBot="1">
      <c r="B62" s="41" t="s">
        <v>34</v>
      </c>
      <c r="C62" s="69">
        <v>76</v>
      </c>
      <c r="D62" s="70" t="s">
        <v>103</v>
      </c>
      <c r="E62" s="24"/>
      <c r="F62" s="29"/>
      <c r="G62" s="63"/>
      <c r="H62" s="35"/>
      <c r="I62" s="16"/>
    </row>
    <row r="63" spans="2:11" ht="13.5" thickBot="1">
      <c r="B63" s="17"/>
      <c r="C63" s="57"/>
      <c r="D63" s="83"/>
      <c r="E63" s="125"/>
      <c r="F63" s="34"/>
      <c r="G63" s="15"/>
      <c r="H63" s="16"/>
      <c r="I63" s="16"/>
    </row>
    <row r="64" spans="2:11" ht="13.5" thickBot="1">
      <c r="B64" s="30" t="s">
        <v>82</v>
      </c>
      <c r="C64" s="31"/>
      <c r="D64" s="32"/>
      <c r="E64" s="32"/>
      <c r="F64" s="33"/>
      <c r="G64" s="16"/>
      <c r="H64" s="11"/>
      <c r="I64" s="12"/>
      <c r="K64" s="11"/>
    </row>
    <row r="65" spans="2:11" ht="13.5" thickBot="1">
      <c r="B65" s="71"/>
      <c r="C65" s="72"/>
      <c r="D65" s="73"/>
      <c r="E65" s="73"/>
      <c r="F65" s="74"/>
      <c r="G65" s="16"/>
      <c r="H65" s="11"/>
      <c r="I65" s="12"/>
      <c r="K65" s="11"/>
    </row>
    <row r="66" spans="2:11" ht="63.75">
      <c r="B66" s="96" t="s">
        <v>86</v>
      </c>
      <c r="C66" s="97">
        <v>1</v>
      </c>
      <c r="D66" s="98" t="s">
        <v>5</v>
      </c>
      <c r="E66" s="99">
        <f>4644823*0.95</f>
        <v>4412581.8499999996</v>
      </c>
      <c r="F66" s="100">
        <f t="shared" ref="F66:F71" si="0">C66*E66</f>
        <v>4412581.8499999996</v>
      </c>
      <c r="G66" s="16"/>
      <c r="H66" s="11"/>
      <c r="I66" s="12"/>
      <c r="K66" s="11"/>
    </row>
    <row r="67" spans="2:11">
      <c r="B67" s="53" t="s">
        <v>81</v>
      </c>
      <c r="C67" s="50">
        <v>1</v>
      </c>
      <c r="D67" s="51" t="s">
        <v>36</v>
      </c>
      <c r="E67" s="52">
        <f>301940</f>
        <v>301940</v>
      </c>
      <c r="F67" s="54">
        <f t="shared" si="0"/>
        <v>301940</v>
      </c>
      <c r="G67" s="16"/>
      <c r="H67" s="11"/>
      <c r="I67" s="12"/>
      <c r="K67" s="11"/>
    </row>
    <row r="68" spans="2:11">
      <c r="B68" s="53" t="s">
        <v>59</v>
      </c>
      <c r="C68" s="50">
        <v>1</v>
      </c>
      <c r="D68" s="51" t="s">
        <v>36</v>
      </c>
      <c r="E68" s="52">
        <f>D37*D38*1.1*1172*1.15*1.2</f>
        <v>1601186.4000000001</v>
      </c>
      <c r="F68" s="54">
        <f t="shared" si="0"/>
        <v>1601186.4000000001</v>
      </c>
      <c r="G68" s="16"/>
      <c r="H68" s="11"/>
      <c r="I68" s="12"/>
      <c r="K68" s="11"/>
    </row>
    <row r="69" spans="2:11">
      <c r="B69" s="53" t="s">
        <v>60</v>
      </c>
      <c r="C69" s="50">
        <v>1</v>
      </c>
      <c r="D69" s="51" t="s">
        <v>21</v>
      </c>
      <c r="E69" s="52">
        <f>E66*0.08</f>
        <v>353006.54799999995</v>
      </c>
      <c r="F69" s="54">
        <f t="shared" si="0"/>
        <v>353006.54799999995</v>
      </c>
      <c r="G69" s="16"/>
      <c r="H69" s="11"/>
      <c r="I69" s="12"/>
      <c r="K69" s="11"/>
    </row>
    <row r="70" spans="2:11">
      <c r="B70" s="53" t="s">
        <v>43</v>
      </c>
      <c r="C70" s="50">
        <v>1</v>
      </c>
      <c r="D70" s="51" t="s">
        <v>21</v>
      </c>
      <c r="E70" s="52">
        <v>24840</v>
      </c>
      <c r="F70" s="54">
        <f t="shared" si="0"/>
        <v>24840</v>
      </c>
      <c r="G70" s="16"/>
      <c r="H70" s="11"/>
      <c r="I70" s="12"/>
      <c r="K70" s="11"/>
    </row>
    <row r="71" spans="2:11" ht="13.5" thickBot="1">
      <c r="B71" s="101" t="s">
        <v>61</v>
      </c>
      <c r="C71" s="102">
        <v>1</v>
      </c>
      <c r="D71" s="103" t="s">
        <v>36</v>
      </c>
      <c r="E71" s="104">
        <f>804307*0.65</f>
        <v>522799.55000000005</v>
      </c>
      <c r="F71" s="105">
        <f t="shared" si="0"/>
        <v>522799.55000000005</v>
      </c>
      <c r="G71" s="16"/>
      <c r="H71" s="11"/>
      <c r="I71" s="12"/>
      <c r="K71" s="11"/>
    </row>
    <row r="72" spans="2:11" ht="13.5" thickBot="1">
      <c r="B72" s="22" t="s">
        <v>11</v>
      </c>
      <c r="C72" s="23"/>
      <c r="D72" s="24"/>
      <c r="E72" s="25"/>
      <c r="F72" s="26">
        <f>SUM(F66:F71)</f>
        <v>7216354.3480000002</v>
      </c>
      <c r="G72" s="16"/>
      <c r="H72" s="11"/>
      <c r="I72" s="12"/>
      <c r="K72" s="11"/>
    </row>
    <row r="73" spans="2:11" ht="13.5" thickBot="1">
      <c r="B73" s="20" t="s">
        <v>4</v>
      </c>
      <c r="C73" s="19"/>
      <c r="D73" s="18"/>
      <c r="E73" s="19"/>
      <c r="F73" s="21">
        <f>F72*18/118</f>
        <v>1100799.8157966102</v>
      </c>
      <c r="G73" s="16"/>
      <c r="H73" s="11"/>
      <c r="I73" s="12"/>
      <c r="K73" s="11"/>
    </row>
    <row r="74" spans="2:11" ht="13.5" thickBot="1">
      <c r="B74" s="20" t="s">
        <v>38</v>
      </c>
      <c r="C74" s="19"/>
      <c r="D74" s="18">
        <v>68</v>
      </c>
      <c r="E74" s="19"/>
      <c r="F74" s="80">
        <f>F72/D74</f>
        <v>106122.85805882353</v>
      </c>
      <c r="G74" s="16"/>
      <c r="H74" s="11"/>
      <c r="I74" s="12"/>
      <c r="K74" s="11"/>
    </row>
    <row r="75" spans="2:11" ht="25.5">
      <c r="B75" s="75" t="s">
        <v>57</v>
      </c>
      <c r="G75" s="16"/>
      <c r="H75" s="11"/>
      <c r="I75" s="12"/>
      <c r="K75" s="11"/>
    </row>
    <row r="76" spans="2:11">
      <c r="B76" s="11" t="s">
        <v>37</v>
      </c>
      <c r="G76" s="16"/>
      <c r="H76" s="11"/>
      <c r="I76" s="12"/>
      <c r="K76" s="11"/>
    </row>
    <row r="77" spans="2:11">
      <c r="B77" s="11" t="s">
        <v>76</v>
      </c>
      <c r="C77" s="57"/>
      <c r="D77" s="83"/>
      <c r="E77" s="125"/>
      <c r="F77" s="127"/>
      <c r="G77" s="16"/>
      <c r="H77" s="11"/>
      <c r="I77" s="12"/>
      <c r="K77" s="11"/>
    </row>
    <row r="78" spans="2:11" ht="13.5" thickBot="1">
      <c r="C78" s="57"/>
      <c r="D78" s="83"/>
      <c r="E78" s="125"/>
      <c r="F78" s="127"/>
      <c r="G78" s="16"/>
      <c r="H78" s="11"/>
      <c r="I78" s="12"/>
      <c r="K78" s="11"/>
    </row>
    <row r="79" spans="2:11" ht="13.5" thickBot="1">
      <c r="B79" s="30" t="s">
        <v>89</v>
      </c>
      <c r="C79" s="31"/>
      <c r="D79" s="32"/>
      <c r="E79" s="32"/>
      <c r="F79" s="33"/>
      <c r="G79" s="16"/>
      <c r="H79" s="11"/>
      <c r="I79" s="12"/>
      <c r="K79" s="11"/>
    </row>
    <row r="80" spans="2:11" ht="13.5" thickBot="1">
      <c r="B80" s="71"/>
      <c r="C80" s="72"/>
      <c r="D80" s="73"/>
      <c r="E80" s="73"/>
      <c r="F80" s="74"/>
      <c r="G80" s="16"/>
      <c r="H80" s="11"/>
      <c r="I80" s="12"/>
      <c r="K80" s="11"/>
    </row>
    <row r="81" spans="2:11" ht="63.75">
      <c r="B81" s="96" t="s">
        <v>87</v>
      </c>
      <c r="C81" s="97">
        <v>1</v>
      </c>
      <c r="D81" s="98" t="s">
        <v>5</v>
      </c>
      <c r="E81" s="99">
        <f>4644823*0.95*0.45</f>
        <v>1985661.8324999998</v>
      </c>
      <c r="F81" s="100">
        <f t="shared" ref="F81:F86" si="1">C81*E81</f>
        <v>1985661.8324999998</v>
      </c>
      <c r="G81" s="16"/>
      <c r="H81" s="11"/>
      <c r="I81" s="12"/>
      <c r="K81" s="11"/>
    </row>
    <row r="82" spans="2:11">
      <c r="B82" s="53" t="s">
        <v>81</v>
      </c>
      <c r="C82" s="50">
        <v>1</v>
      </c>
      <c r="D82" s="51" t="s">
        <v>36</v>
      </c>
      <c r="E82" s="52">
        <f>301940</f>
        <v>301940</v>
      </c>
      <c r="F82" s="54">
        <f t="shared" si="1"/>
        <v>301940</v>
      </c>
      <c r="G82" s="16"/>
      <c r="H82" s="11"/>
      <c r="I82" s="12"/>
      <c r="K82" s="11"/>
    </row>
    <row r="83" spans="2:11">
      <c r="B83" s="53" t="s">
        <v>59</v>
      </c>
      <c r="C83" s="50">
        <v>1</v>
      </c>
      <c r="D83" s="51" t="s">
        <v>36</v>
      </c>
      <c r="E83" s="52">
        <f>D37*D38*1.1*1172*1.15*1.2</f>
        <v>1601186.4000000001</v>
      </c>
      <c r="F83" s="54">
        <f t="shared" si="1"/>
        <v>1601186.4000000001</v>
      </c>
      <c r="G83" s="16"/>
      <c r="H83" s="11"/>
      <c r="I83" s="12"/>
      <c r="K83" s="11"/>
    </row>
    <row r="84" spans="2:11">
      <c r="B84" s="53" t="s">
        <v>60</v>
      </c>
      <c r="C84" s="50">
        <v>1</v>
      </c>
      <c r="D84" s="51" t="s">
        <v>21</v>
      </c>
      <c r="E84" s="52">
        <f>E66*0.08</f>
        <v>353006.54799999995</v>
      </c>
      <c r="F84" s="54">
        <f t="shared" si="1"/>
        <v>353006.54799999995</v>
      </c>
      <c r="G84" s="16"/>
      <c r="H84" s="11"/>
      <c r="I84" s="12"/>
      <c r="K84" s="11"/>
    </row>
    <row r="85" spans="2:11">
      <c r="B85" s="53" t="s">
        <v>43</v>
      </c>
      <c r="C85" s="50">
        <v>1</v>
      </c>
      <c r="D85" s="51" t="s">
        <v>21</v>
      </c>
      <c r="E85" s="52">
        <v>24840</v>
      </c>
      <c r="F85" s="54">
        <f t="shared" si="1"/>
        <v>24840</v>
      </c>
      <c r="G85" s="16"/>
      <c r="H85" s="11"/>
      <c r="I85" s="12"/>
      <c r="K85" s="11"/>
    </row>
    <row r="86" spans="2:11" ht="13.5" thickBot="1">
      <c r="B86" s="101" t="s">
        <v>61</v>
      </c>
      <c r="C86" s="102">
        <v>1</v>
      </c>
      <c r="D86" s="103" t="s">
        <v>36</v>
      </c>
      <c r="E86" s="104">
        <f>804307*0.65</f>
        <v>522799.55000000005</v>
      </c>
      <c r="F86" s="105">
        <f t="shared" si="1"/>
        <v>522799.55000000005</v>
      </c>
      <c r="G86" s="16"/>
      <c r="H86" s="11"/>
      <c r="I86" s="12"/>
      <c r="K86" s="11"/>
    </row>
    <row r="87" spans="2:11" ht="13.5" thickBot="1">
      <c r="B87" s="22" t="s">
        <v>11</v>
      </c>
      <c r="C87" s="23"/>
      <c r="D87" s="24"/>
      <c r="E87" s="25"/>
      <c r="F87" s="26">
        <f>SUM(F81:F86)</f>
        <v>4789434.3305000002</v>
      </c>
      <c r="G87" s="16"/>
      <c r="H87" s="11"/>
      <c r="I87" s="12"/>
      <c r="K87" s="11"/>
    </row>
    <row r="88" spans="2:11" ht="13.5" thickBot="1">
      <c r="B88" s="20" t="s">
        <v>4</v>
      </c>
      <c r="C88" s="19"/>
      <c r="D88" s="18"/>
      <c r="E88" s="19"/>
      <c r="F88" s="21">
        <f>F87*18/118</f>
        <v>730591.67753389827</v>
      </c>
      <c r="G88" s="16"/>
      <c r="H88" s="11"/>
      <c r="I88" s="12"/>
      <c r="K88" s="11"/>
    </row>
    <row r="89" spans="2:11" ht="13.5" thickBot="1">
      <c r="B89" s="20" t="s">
        <v>38</v>
      </c>
      <c r="C89" s="19"/>
      <c r="D89" s="18">
        <v>68</v>
      </c>
      <c r="E89" s="19"/>
      <c r="F89" s="80">
        <f>F87/D89</f>
        <v>70432.857801470585</v>
      </c>
      <c r="G89" s="16"/>
      <c r="H89" s="11"/>
      <c r="I89" s="12"/>
      <c r="K89" s="11"/>
    </row>
    <row r="90" spans="2:11" ht="25.5">
      <c r="B90" s="75" t="s">
        <v>57</v>
      </c>
      <c r="G90" s="16"/>
      <c r="H90" s="11"/>
      <c r="I90" s="12"/>
      <c r="K90" s="11"/>
    </row>
    <row r="91" spans="2:11">
      <c r="B91" s="11" t="s">
        <v>37</v>
      </c>
      <c r="G91" s="16"/>
      <c r="H91" s="11"/>
      <c r="I91" s="12"/>
      <c r="K91" s="11"/>
    </row>
    <row r="92" spans="2:11">
      <c r="B92" s="11" t="s">
        <v>76</v>
      </c>
      <c r="C92" s="57"/>
      <c r="D92" s="83"/>
      <c r="E92" s="125"/>
      <c r="F92" s="127"/>
      <c r="G92" s="16"/>
      <c r="H92" s="11"/>
      <c r="I92" s="12"/>
      <c r="K92" s="11"/>
    </row>
  </sheetData>
  <mergeCells count="26">
    <mergeCell ref="C54:D54"/>
    <mergeCell ref="G54:H54"/>
    <mergeCell ref="B30:F30"/>
    <mergeCell ref="B33:F33"/>
    <mergeCell ref="B34:F34"/>
    <mergeCell ref="C52:D52"/>
    <mergeCell ref="G52:H52"/>
    <mergeCell ref="E53:F53"/>
    <mergeCell ref="C23:F23"/>
    <mergeCell ref="B24:D24"/>
    <mergeCell ref="B25:F25"/>
    <mergeCell ref="B26:F26"/>
    <mergeCell ref="C28:D28"/>
    <mergeCell ref="E28:F28"/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2"/>
  <sheetViews>
    <sheetView topLeftCell="A38" zoomScaleNormal="100" zoomScaleSheetLayoutView="100" workbookViewId="0">
      <selection activeCell="C54" sqref="C54:D54"/>
    </sheetView>
  </sheetViews>
  <sheetFormatPr defaultRowHeight="12.75"/>
  <cols>
    <col min="1" max="1" width="1.85546875" style="8" customWidth="1"/>
    <col min="2" max="2" width="61.5703125" style="11" customWidth="1"/>
    <col min="3" max="3" width="8.85546875" style="12" customWidth="1"/>
    <col min="4" max="4" width="13.85546875" style="5" customWidth="1"/>
    <col min="5" max="5" width="10.7109375" style="12" customWidth="1"/>
    <col min="6" max="6" width="12.42578125" style="12" customWidth="1"/>
    <col min="7" max="7" width="8.7109375" style="144" customWidth="1"/>
    <col min="8" max="8" width="8.7109375" style="13" customWidth="1"/>
    <col min="9" max="9" width="6.85546875" style="13" customWidth="1"/>
    <col min="10" max="10" width="9.140625" style="11" customWidth="1"/>
    <col min="11" max="11" width="11.7109375" style="12" customWidth="1"/>
    <col min="12" max="12" width="9.140625" style="11" customWidth="1"/>
    <col min="13" max="13" width="12.140625" style="11" customWidth="1"/>
    <col min="14" max="15" width="9.140625" style="11" customWidth="1"/>
    <col min="16" max="16" width="11.28515625" style="11" hidden="1" customWidth="1"/>
    <col min="17" max="17" width="9.140625" style="11" hidden="1" customWidth="1"/>
    <col min="18" max="18" width="3" style="11" hidden="1" customWidth="1"/>
    <col min="19" max="19" width="0" style="11" hidden="1" customWidth="1"/>
    <col min="20" max="22" width="9.140625" style="11" hidden="1" customWidth="1"/>
    <col min="23" max="24" width="0" style="11" hidden="1" customWidth="1"/>
    <col min="25" max="16384" width="9.140625" style="11"/>
  </cols>
  <sheetData>
    <row r="1" spans="1:11" ht="35.25" customHeight="1">
      <c r="A1" s="6"/>
      <c r="B1" s="1"/>
      <c r="C1" s="256" t="s">
        <v>2</v>
      </c>
      <c r="D1" s="257"/>
      <c r="E1" s="257"/>
      <c r="F1" s="258"/>
      <c r="G1" s="13"/>
    </row>
    <row r="2" spans="1:11" ht="15" customHeight="1">
      <c r="A2" s="6"/>
      <c r="B2" s="1"/>
      <c r="C2" s="3" t="s">
        <v>0</v>
      </c>
      <c r="D2" s="4"/>
      <c r="E2" s="3"/>
    </row>
    <row r="3" spans="1:11" s="2" customFormat="1" ht="19.5" customHeight="1">
      <c r="A3" s="7"/>
      <c r="B3" s="9" t="s">
        <v>1</v>
      </c>
      <c r="C3" s="259"/>
      <c r="D3" s="258"/>
      <c r="E3" s="258"/>
      <c r="F3" s="258"/>
      <c r="G3" s="13"/>
      <c r="H3" s="14"/>
      <c r="I3" s="14"/>
      <c r="K3" s="28"/>
    </row>
    <row r="4" spans="1:11" ht="12" customHeight="1">
      <c r="B4" s="260" t="s">
        <v>39</v>
      </c>
      <c r="C4" s="261"/>
      <c r="D4" s="261"/>
      <c r="E4" s="261"/>
      <c r="F4" s="261"/>
    </row>
    <row r="5" spans="1:11" ht="42.75" customHeight="1">
      <c r="B5" s="235"/>
      <c r="C5" s="261" t="s">
        <v>12</v>
      </c>
      <c r="D5" s="262"/>
      <c r="E5" s="263">
        <f ca="1">TODAY()</f>
        <v>43430</v>
      </c>
      <c r="F5" s="262"/>
    </row>
    <row r="6" spans="1:11" ht="43.5" hidden="1" customHeight="1">
      <c r="B6" s="264" t="s">
        <v>3</v>
      </c>
      <c r="C6" s="265"/>
      <c r="D6" s="265"/>
      <c r="E6" s="265"/>
      <c r="F6" s="265"/>
    </row>
    <row r="7" spans="1:11" ht="13.5" thickBot="1">
      <c r="B7" s="49"/>
      <c r="C7" s="49"/>
      <c r="D7" s="49"/>
      <c r="E7" s="49"/>
      <c r="F7" s="49"/>
      <c r="G7" s="15"/>
      <c r="H7" s="16"/>
      <c r="I7" s="16"/>
    </row>
    <row r="8" spans="1:11" ht="80.25" customHeight="1" thickBot="1">
      <c r="B8" s="266" t="s">
        <v>144</v>
      </c>
      <c r="C8" s="267"/>
      <c r="D8" s="267"/>
      <c r="E8" s="267"/>
      <c r="F8" s="268"/>
      <c r="G8" s="15"/>
      <c r="H8" s="16"/>
      <c r="I8" s="16"/>
    </row>
    <row r="9" spans="1:11" ht="167.25" hidden="1" customHeight="1" thickBot="1">
      <c r="B9" s="44"/>
      <c r="C9" s="230"/>
      <c r="D9" s="230"/>
      <c r="E9" s="230"/>
      <c r="F9" s="230"/>
      <c r="G9" s="15"/>
      <c r="H9" s="16"/>
      <c r="I9" s="16"/>
    </row>
    <row r="10" spans="1:11" ht="46.5" hidden="1" customHeight="1" thickBot="1">
      <c r="B10" s="269" t="s">
        <v>13</v>
      </c>
      <c r="C10" s="270"/>
      <c r="D10" s="270"/>
      <c r="E10" s="270"/>
      <c r="F10" s="271"/>
      <c r="G10" s="15"/>
      <c r="H10" s="16"/>
      <c r="I10" s="16"/>
    </row>
    <row r="11" spans="1:11" ht="26.25" hidden="1" customHeight="1">
      <c r="B11" s="36" t="s">
        <v>6</v>
      </c>
      <c r="C11" s="272" t="s">
        <v>7</v>
      </c>
      <c r="D11" s="273"/>
      <c r="E11" s="37"/>
      <c r="F11" s="10"/>
      <c r="G11" s="15"/>
      <c r="H11" s="16"/>
      <c r="I11" s="16"/>
    </row>
    <row r="12" spans="1:11" ht="12.75" hidden="1" customHeight="1">
      <c r="B12" s="38" t="s">
        <v>8</v>
      </c>
      <c r="C12" s="42"/>
      <c r="D12" s="274" t="s">
        <v>20</v>
      </c>
      <c r="E12" s="274"/>
      <c r="F12" s="275"/>
      <c r="G12" s="15"/>
      <c r="H12" s="16"/>
      <c r="I12" s="16"/>
    </row>
    <row r="13" spans="1:11" hidden="1">
      <c r="B13" s="38" t="s">
        <v>18</v>
      </c>
      <c r="C13" s="276">
        <v>2.0699999999999998</v>
      </c>
      <c r="D13" s="277"/>
      <c r="E13" s="231"/>
      <c r="F13" s="34"/>
      <c r="G13" s="15"/>
      <c r="H13" s="16"/>
      <c r="I13" s="16"/>
    </row>
    <row r="14" spans="1:11" hidden="1">
      <c r="B14" s="17" t="s">
        <v>9</v>
      </c>
      <c r="C14" s="43"/>
      <c r="D14" s="39" t="s">
        <v>15</v>
      </c>
      <c r="E14" s="231"/>
      <c r="F14" s="34"/>
      <c r="G14" s="15"/>
      <c r="H14" s="16"/>
      <c r="I14" s="16"/>
    </row>
    <row r="15" spans="1:11" hidden="1">
      <c r="B15" s="17" t="s">
        <v>16</v>
      </c>
      <c r="C15" s="43"/>
      <c r="D15" s="39" t="s">
        <v>17</v>
      </c>
      <c r="E15" s="231"/>
      <c r="F15" s="34"/>
      <c r="G15" s="15"/>
      <c r="H15" s="16"/>
      <c r="I15" s="16"/>
    </row>
    <row r="16" spans="1:11" hidden="1">
      <c r="B16" s="17" t="s">
        <v>10</v>
      </c>
      <c r="C16" s="43"/>
      <c r="D16" s="229">
        <v>1.2</v>
      </c>
      <c r="E16" s="40" t="s">
        <v>19</v>
      </c>
      <c r="F16" s="34"/>
      <c r="G16" s="15"/>
      <c r="H16" s="16"/>
      <c r="I16" s="16"/>
    </row>
    <row r="17" spans="1:11" ht="13.5" hidden="1" thickBot="1">
      <c r="B17" s="41" t="s">
        <v>14</v>
      </c>
      <c r="C17" s="45">
        <v>3</v>
      </c>
      <c r="D17" s="47">
        <v>2.4300000000000002</v>
      </c>
      <c r="E17" s="48">
        <v>2.5910000000000002</v>
      </c>
      <c r="F17" s="29"/>
      <c r="G17" s="15"/>
      <c r="H17" s="16"/>
      <c r="I17" s="16"/>
    </row>
    <row r="18" spans="1:11">
      <c r="B18" s="234"/>
      <c r="C18" s="46"/>
      <c r="D18" s="15"/>
      <c r="E18" s="55"/>
      <c r="F18" s="27"/>
      <c r="G18" s="15"/>
      <c r="H18" s="16"/>
      <c r="I18" s="16"/>
    </row>
    <row r="19" spans="1:11" ht="70.5" customHeight="1">
      <c r="B19" s="255" t="s">
        <v>22</v>
      </c>
      <c r="C19" s="255"/>
      <c r="D19" s="255"/>
      <c r="E19" s="255"/>
      <c r="F19" s="255"/>
      <c r="G19" s="15"/>
      <c r="H19" s="16"/>
      <c r="I19" s="16"/>
    </row>
    <row r="20" spans="1:11">
      <c r="B20" s="234"/>
      <c r="C20" s="46"/>
      <c r="D20" s="15"/>
      <c r="E20" s="55"/>
      <c r="F20" s="27"/>
      <c r="G20" s="15"/>
      <c r="H20" s="16"/>
      <c r="I20" s="16"/>
    </row>
    <row r="21" spans="1:11">
      <c r="B21" s="234"/>
      <c r="C21" s="46"/>
      <c r="D21" s="15"/>
      <c r="E21" s="55"/>
      <c r="F21" s="27"/>
      <c r="G21" s="15"/>
      <c r="H21" s="16"/>
      <c r="I21" s="16"/>
    </row>
    <row r="22" spans="1:11" ht="148.5" customHeight="1">
      <c r="B22" s="234"/>
      <c r="C22" s="46"/>
      <c r="D22" s="35"/>
      <c r="E22" s="4"/>
      <c r="F22" s="27"/>
      <c r="G22" s="15"/>
      <c r="H22" s="16"/>
      <c r="I22" s="16"/>
    </row>
    <row r="23" spans="1:11" ht="175.5" customHeight="1">
      <c r="B23" s="234"/>
      <c r="C23" s="278" t="s">
        <v>23</v>
      </c>
      <c r="D23" s="278"/>
      <c r="E23" s="278"/>
      <c r="F23" s="278"/>
      <c r="G23" s="15"/>
      <c r="H23" s="16"/>
      <c r="I23" s="16"/>
    </row>
    <row r="24" spans="1:11" s="78" customFormat="1" ht="130.5" hidden="1" customHeight="1">
      <c r="A24" s="76"/>
      <c r="B24" s="279" t="s">
        <v>41</v>
      </c>
      <c r="C24" s="279"/>
      <c r="D24" s="279"/>
      <c r="E24" s="2"/>
      <c r="F24" s="2"/>
      <c r="G24" s="145"/>
      <c r="H24" s="77"/>
      <c r="I24" s="77"/>
      <c r="K24" s="79"/>
    </row>
    <row r="25" spans="1:11" s="78" customFormat="1" ht="130.5" hidden="1" customHeight="1">
      <c r="A25" s="76"/>
      <c r="B25" s="280" t="s">
        <v>42</v>
      </c>
      <c r="C25" s="281"/>
      <c r="D25" s="281"/>
      <c r="E25" s="281"/>
      <c r="F25" s="281"/>
      <c r="G25" s="145"/>
      <c r="H25" s="77"/>
      <c r="I25" s="77"/>
      <c r="K25" s="79"/>
    </row>
    <row r="26" spans="1:11" s="78" customFormat="1" ht="130.5" hidden="1" customHeight="1">
      <c r="A26" s="76"/>
      <c r="B26" s="279" t="s">
        <v>44</v>
      </c>
      <c r="C26" s="258"/>
      <c r="D26" s="258"/>
      <c r="E26" s="258"/>
      <c r="F26" s="258"/>
      <c r="G26" s="145"/>
      <c r="H26" s="77"/>
      <c r="I26" s="77"/>
      <c r="K26" s="79"/>
    </row>
    <row r="27" spans="1:11" ht="13.5" thickBot="1"/>
    <row r="28" spans="1:11" s="78" customFormat="1" ht="34.5" customHeight="1" thickBot="1">
      <c r="A28" s="76"/>
      <c r="B28" s="92" t="s">
        <v>80</v>
      </c>
      <c r="C28" s="282"/>
      <c r="D28" s="283"/>
      <c r="E28" s="284"/>
      <c r="F28" s="285"/>
      <c r="G28" s="145"/>
      <c r="H28" s="77"/>
      <c r="I28" s="77"/>
      <c r="K28" s="79"/>
    </row>
    <row r="29" spans="1:11" s="78" customFormat="1" ht="23.25">
      <c r="A29" s="76"/>
      <c r="B29" s="232" t="s">
        <v>62</v>
      </c>
      <c r="C29" s="233"/>
      <c r="D29" s="233"/>
      <c r="E29" s="233"/>
      <c r="F29" s="233"/>
      <c r="G29" s="145"/>
      <c r="H29" s="77"/>
      <c r="I29" s="77"/>
      <c r="K29" s="79"/>
    </row>
    <row r="30" spans="1:11" s="78" customFormat="1" ht="122.25" customHeight="1" thickBot="1">
      <c r="A30" s="76"/>
      <c r="B30" s="287" t="s">
        <v>140</v>
      </c>
      <c r="C30" s="288"/>
      <c r="D30" s="288"/>
      <c r="E30" s="288"/>
      <c r="F30" s="288"/>
      <c r="G30" s="145"/>
      <c r="H30" s="77"/>
      <c r="I30" s="77"/>
      <c r="K30" s="79"/>
    </row>
    <row r="31" spans="1:11" s="78" customFormat="1" ht="24" thickBot="1">
      <c r="A31" s="76"/>
      <c r="B31" s="95" t="s">
        <v>74</v>
      </c>
      <c r="C31" s="93"/>
      <c r="D31" s="93"/>
      <c r="E31" s="93"/>
      <c r="F31" s="94"/>
      <c r="G31" s="145"/>
      <c r="H31" s="77"/>
      <c r="I31" s="77"/>
      <c r="K31" s="79"/>
    </row>
    <row r="32" spans="1:11" ht="16.5" thickBot="1">
      <c r="B32" s="81" t="s">
        <v>40</v>
      </c>
      <c r="C32" s="232"/>
      <c r="D32" s="14"/>
      <c r="E32" s="14"/>
      <c r="F32" s="82"/>
      <c r="G32" s="15"/>
      <c r="H32" s="16"/>
      <c r="I32" s="16"/>
    </row>
    <row r="33" spans="2:9" ht="57.75" customHeight="1" thickBot="1">
      <c r="B33" s="289" t="s">
        <v>92</v>
      </c>
      <c r="C33" s="290"/>
      <c r="D33" s="290"/>
      <c r="E33" s="290"/>
      <c r="F33" s="291"/>
      <c r="G33" s="15"/>
      <c r="H33" s="16"/>
      <c r="I33" s="16"/>
    </row>
    <row r="34" spans="2:9" ht="56.25" hidden="1" customHeight="1">
      <c r="B34" s="292" t="s">
        <v>58</v>
      </c>
      <c r="C34" s="293"/>
      <c r="D34" s="293"/>
      <c r="E34" s="293"/>
      <c r="F34" s="294"/>
      <c r="G34" s="15"/>
      <c r="H34" s="16"/>
      <c r="I34" s="16"/>
    </row>
    <row r="35" spans="2:9">
      <c r="B35" s="90" t="s">
        <v>45</v>
      </c>
      <c r="C35" s="56"/>
      <c r="D35" s="86" t="s">
        <v>64</v>
      </c>
      <c r="E35" s="37"/>
      <c r="F35" s="146"/>
      <c r="G35" s="55"/>
      <c r="H35" s="4"/>
      <c r="I35" s="16"/>
    </row>
    <row r="36" spans="2:9">
      <c r="B36" s="17" t="s">
        <v>46</v>
      </c>
      <c r="C36" s="57"/>
      <c r="D36" s="83"/>
      <c r="E36" s="83"/>
      <c r="F36" s="85"/>
      <c r="G36" s="83"/>
      <c r="H36" s="4"/>
      <c r="I36" s="16"/>
    </row>
    <row r="37" spans="2:9">
      <c r="B37" s="17" t="s">
        <v>47</v>
      </c>
      <c r="C37" s="57" t="s">
        <v>48</v>
      </c>
      <c r="D37" s="87">
        <v>25</v>
      </c>
      <c r="E37" s="87"/>
      <c r="F37" s="58"/>
      <c r="G37" s="87"/>
      <c r="H37" s="4"/>
      <c r="I37" s="16"/>
    </row>
    <row r="38" spans="2:9" ht="13.5" thickBot="1">
      <c r="B38" s="17" t="s">
        <v>49</v>
      </c>
      <c r="C38" s="57" t="s">
        <v>48</v>
      </c>
      <c r="D38" s="87">
        <v>55</v>
      </c>
      <c r="E38" s="87"/>
      <c r="F38" s="58"/>
      <c r="G38" s="87"/>
      <c r="H38" s="4"/>
      <c r="I38" s="16"/>
    </row>
    <row r="39" spans="2:9" ht="25.5">
      <c r="B39" s="199" t="s">
        <v>50</v>
      </c>
      <c r="C39" s="157" t="s">
        <v>25</v>
      </c>
      <c r="D39" s="195">
        <f>0.225*(D37*D38)*1.2</f>
        <v>371.25</v>
      </c>
      <c r="E39" s="195"/>
      <c r="F39" s="196"/>
      <c r="G39" s="87"/>
      <c r="H39" s="4"/>
      <c r="I39" s="16"/>
    </row>
    <row r="40" spans="2:9" ht="13.5" thickBot="1">
      <c r="B40" s="200" t="s">
        <v>51</v>
      </c>
      <c r="C40" s="162" t="s">
        <v>25</v>
      </c>
      <c r="D40" s="197">
        <f>0.15*(D37*D38)</f>
        <v>206.25</v>
      </c>
      <c r="E40" s="197"/>
      <c r="F40" s="198"/>
      <c r="G40" s="121"/>
      <c r="H40" s="4"/>
      <c r="I40" s="16"/>
    </row>
    <row r="41" spans="2:9" ht="25.5">
      <c r="B41" s="17" t="s">
        <v>52</v>
      </c>
      <c r="C41" s="57"/>
      <c r="D41" s="121" t="s">
        <v>65</v>
      </c>
      <c r="E41" s="87"/>
      <c r="F41" s="58"/>
      <c r="G41" s="87"/>
      <c r="H41" s="4"/>
      <c r="I41" s="16"/>
    </row>
    <row r="42" spans="2:9">
      <c r="B42" s="17" t="s">
        <v>93</v>
      </c>
      <c r="C42" s="57" t="s">
        <v>94</v>
      </c>
      <c r="D42" s="121">
        <v>3.2</v>
      </c>
      <c r="E42" s="87"/>
      <c r="F42" s="58"/>
      <c r="G42" s="87"/>
      <c r="H42" s="4"/>
      <c r="I42" s="16"/>
    </row>
    <row r="43" spans="2:9">
      <c r="B43" s="17" t="s">
        <v>95</v>
      </c>
      <c r="C43" s="57" t="s">
        <v>96</v>
      </c>
      <c r="D43" s="121">
        <v>1090</v>
      </c>
      <c r="E43" s="87"/>
      <c r="F43" s="58"/>
      <c r="G43" s="87"/>
      <c r="H43" s="4"/>
      <c r="I43" s="16"/>
    </row>
    <row r="44" spans="2:9">
      <c r="B44" s="17" t="s">
        <v>53</v>
      </c>
      <c r="C44" s="57" t="s">
        <v>24</v>
      </c>
      <c r="D44" s="87">
        <v>-8</v>
      </c>
      <c r="E44" s="87"/>
      <c r="F44" s="58"/>
      <c r="G44" s="87"/>
      <c r="H44" s="4"/>
      <c r="I44" s="16"/>
    </row>
    <row r="45" spans="2:9" ht="12.75" hidden="1" customHeight="1">
      <c r="B45" s="17" t="s">
        <v>54</v>
      </c>
      <c r="C45" s="57" t="s">
        <v>24</v>
      </c>
      <c r="D45" s="87">
        <v>-13</v>
      </c>
      <c r="E45" s="87"/>
      <c r="F45" s="58"/>
      <c r="G45" s="87"/>
      <c r="H45" s="4"/>
      <c r="I45" s="16"/>
    </row>
    <row r="46" spans="2:9" ht="13.5" hidden="1" customHeight="1">
      <c r="B46" s="17" t="s">
        <v>55</v>
      </c>
      <c r="C46" s="57" t="s">
        <v>26</v>
      </c>
      <c r="D46" s="83">
        <f>D39/(D43*D42*(D44-D45))*3600</f>
        <v>76.6341743119266</v>
      </c>
      <c r="E46" s="83"/>
      <c r="F46" s="85"/>
      <c r="G46" s="83"/>
      <c r="H46" s="4"/>
      <c r="I46" s="16"/>
    </row>
    <row r="47" spans="2:9">
      <c r="B47" s="17" t="s">
        <v>56</v>
      </c>
      <c r="C47" s="57" t="s">
        <v>48</v>
      </c>
      <c r="D47" s="83">
        <v>20</v>
      </c>
      <c r="E47" s="83"/>
      <c r="F47" s="85"/>
      <c r="G47" s="83"/>
      <c r="H47" s="4"/>
      <c r="I47" s="16"/>
    </row>
    <row r="48" spans="2:9">
      <c r="B48" s="17" t="s">
        <v>97</v>
      </c>
      <c r="C48" s="57" t="s">
        <v>98</v>
      </c>
      <c r="D48" s="83">
        <f>SQRT(4*D46/(3.14*1.5*3600))*1000</f>
        <v>134.45579749336557</v>
      </c>
      <c r="E48" s="83"/>
      <c r="F48" s="85"/>
      <c r="G48" s="83"/>
      <c r="H48" s="4"/>
      <c r="I48" s="16"/>
    </row>
    <row r="49" spans="2:11">
      <c r="B49" s="17"/>
      <c r="C49" s="57"/>
      <c r="D49" s="83"/>
      <c r="E49" s="83"/>
      <c r="F49" s="85"/>
      <c r="G49" s="83"/>
      <c r="H49" s="4"/>
      <c r="I49" s="16"/>
    </row>
    <row r="50" spans="2:11">
      <c r="B50" s="17"/>
      <c r="C50" s="57"/>
      <c r="D50" s="83"/>
      <c r="E50" s="83"/>
      <c r="F50" s="85"/>
      <c r="G50" s="83"/>
      <c r="H50" s="4"/>
      <c r="I50" s="16"/>
    </row>
    <row r="51" spans="2:11">
      <c r="B51" s="147" t="s">
        <v>99</v>
      </c>
      <c r="C51" s="59"/>
      <c r="D51" s="35"/>
      <c r="E51" s="84"/>
      <c r="F51" s="64"/>
      <c r="G51" s="59"/>
      <c r="H51" s="35"/>
      <c r="I51" s="16"/>
    </row>
    <row r="52" spans="2:11">
      <c r="B52" s="66" t="s">
        <v>6</v>
      </c>
      <c r="C52" s="295" t="s">
        <v>7</v>
      </c>
      <c r="D52" s="295"/>
      <c r="E52" s="55"/>
      <c r="F52" s="64"/>
      <c r="G52" s="295"/>
      <c r="H52" s="295"/>
      <c r="I52" s="16"/>
    </row>
    <row r="53" spans="2:11">
      <c r="B53" s="38" t="s">
        <v>8</v>
      </c>
      <c r="C53" s="67">
        <v>2</v>
      </c>
      <c r="D53" s="60" t="s">
        <v>176</v>
      </c>
      <c r="E53" s="274" t="s">
        <v>177</v>
      </c>
      <c r="F53" s="275"/>
      <c r="G53" s="67"/>
      <c r="H53" s="60"/>
      <c r="I53" s="16"/>
    </row>
    <row r="54" spans="2:11">
      <c r="B54" s="38" t="s">
        <v>101</v>
      </c>
      <c r="C54" s="277">
        <f>370</f>
        <v>370</v>
      </c>
      <c r="D54" s="286"/>
      <c r="E54" s="231"/>
      <c r="F54" s="34"/>
      <c r="G54" s="277"/>
      <c r="H54" s="286"/>
      <c r="I54" s="16"/>
    </row>
    <row r="55" spans="2:11">
      <c r="B55" s="17" t="s">
        <v>9</v>
      </c>
      <c r="C55" s="57"/>
      <c r="D55" s="39" t="s">
        <v>15</v>
      </c>
      <c r="E55" s="231"/>
      <c r="F55" s="34"/>
      <c r="G55" s="57"/>
      <c r="H55" s="39"/>
      <c r="I55" s="16"/>
    </row>
    <row r="56" spans="2:11">
      <c r="B56" s="17" t="s">
        <v>10</v>
      </c>
      <c r="C56" s="57"/>
      <c r="D56" s="39">
        <f>88.37*C53*1.2</f>
        <v>212.08799999999999</v>
      </c>
      <c r="E56" s="231"/>
      <c r="F56" s="34"/>
      <c r="G56" s="57"/>
      <c r="H56" s="39"/>
      <c r="I56" s="16"/>
    </row>
    <row r="57" spans="2:11">
      <c r="B57" s="17" t="s">
        <v>27</v>
      </c>
      <c r="C57" s="57"/>
      <c r="D57" s="229">
        <f>(C54+D56)*1.21*1.15</f>
        <v>809.9754519999999</v>
      </c>
      <c r="E57" s="40"/>
      <c r="F57" s="34"/>
      <c r="G57" s="57"/>
      <c r="H57" s="229"/>
      <c r="I57" s="16"/>
    </row>
    <row r="58" spans="2:11">
      <c r="B58" s="68" t="s">
        <v>28</v>
      </c>
      <c r="C58" s="61" t="s">
        <v>29</v>
      </c>
      <c r="D58" s="62" t="s">
        <v>30</v>
      </c>
      <c r="E58" s="62"/>
      <c r="F58" s="122"/>
      <c r="G58" s="61"/>
      <c r="H58" s="62"/>
      <c r="I58" s="16"/>
    </row>
    <row r="59" spans="2:11">
      <c r="B59" s="65" t="s">
        <v>31</v>
      </c>
      <c r="C59" s="63">
        <v>54</v>
      </c>
      <c r="D59" s="4">
        <v>54</v>
      </c>
      <c r="E59" s="4"/>
      <c r="F59" s="64"/>
      <c r="G59" s="63"/>
      <c r="H59" s="4"/>
      <c r="I59" s="16"/>
    </row>
    <row r="60" spans="2:11">
      <c r="B60" s="65" t="s">
        <v>32</v>
      </c>
      <c r="C60" s="63"/>
      <c r="D60" s="4">
        <v>42</v>
      </c>
      <c r="E60" s="4"/>
      <c r="F60" s="64"/>
      <c r="G60" s="63"/>
      <c r="H60" s="4"/>
      <c r="I60" s="16"/>
    </row>
    <row r="61" spans="2:11">
      <c r="B61" s="65" t="s">
        <v>33</v>
      </c>
      <c r="C61" s="59"/>
      <c r="D61" s="35">
        <v>35</v>
      </c>
      <c r="E61" s="84"/>
      <c r="F61" s="64"/>
      <c r="G61" s="59"/>
      <c r="H61" s="35"/>
      <c r="I61" s="16"/>
    </row>
    <row r="62" spans="2:11" ht="13.5" thickBot="1">
      <c r="B62" s="41" t="s">
        <v>34</v>
      </c>
      <c r="C62" s="69">
        <v>76</v>
      </c>
      <c r="D62" s="70" t="s">
        <v>103</v>
      </c>
      <c r="E62" s="24"/>
      <c r="F62" s="29"/>
      <c r="G62" s="63"/>
      <c r="H62" s="35"/>
      <c r="I62" s="16"/>
    </row>
    <row r="63" spans="2:11" ht="13.5" thickBot="1">
      <c r="B63" s="17"/>
      <c r="C63" s="57"/>
      <c r="D63" s="83"/>
      <c r="E63" s="231"/>
      <c r="F63" s="34"/>
      <c r="G63" s="15"/>
      <c r="H63" s="16"/>
      <c r="I63" s="16"/>
    </row>
    <row r="64" spans="2:11" ht="13.5" thickBot="1">
      <c r="B64" s="30" t="s">
        <v>82</v>
      </c>
      <c r="C64" s="31"/>
      <c r="D64" s="32"/>
      <c r="E64" s="32"/>
      <c r="F64" s="33"/>
      <c r="G64" s="16"/>
      <c r="H64" s="11"/>
      <c r="I64" s="12"/>
      <c r="K64" s="11"/>
    </row>
    <row r="65" spans="2:11" ht="13.5" thickBot="1">
      <c r="B65" s="71"/>
      <c r="C65" s="72"/>
      <c r="D65" s="73"/>
      <c r="E65" s="73"/>
      <c r="F65" s="74"/>
      <c r="G65" s="16"/>
      <c r="H65" s="11"/>
      <c r="I65" s="12"/>
      <c r="K65" s="11"/>
    </row>
    <row r="66" spans="2:11" ht="63.75">
      <c r="B66" s="96" t="s">
        <v>178</v>
      </c>
      <c r="C66" s="97">
        <v>1</v>
      </c>
      <c r="D66" s="98" t="s">
        <v>5</v>
      </c>
      <c r="E66" s="99">
        <f>((30203+57921)*0.95*1.12*69+6435*69+12846*0.75*69)*1.12</f>
        <v>8487927.934080001</v>
      </c>
      <c r="F66" s="100">
        <f t="shared" ref="F66:F71" si="0">C66*E66</f>
        <v>8487927.934080001</v>
      </c>
      <c r="G66" s="16"/>
      <c r="H66" s="11"/>
      <c r="I66" s="12"/>
      <c r="K66" s="11"/>
    </row>
    <row r="67" spans="2:11">
      <c r="B67" s="53" t="s">
        <v>81</v>
      </c>
      <c r="C67" s="50">
        <v>1</v>
      </c>
      <c r="D67" s="51" t="s">
        <v>36</v>
      </c>
      <c r="E67" s="52">
        <f>301940</f>
        <v>301940</v>
      </c>
      <c r="F67" s="54">
        <f t="shared" si="0"/>
        <v>301940</v>
      </c>
      <c r="G67" s="16"/>
      <c r="H67" s="11"/>
      <c r="I67" s="12"/>
      <c r="K67" s="11"/>
    </row>
    <row r="68" spans="2:11">
      <c r="B68" s="53" t="s">
        <v>59</v>
      </c>
      <c r="C68" s="50">
        <v>1</v>
      </c>
      <c r="D68" s="51" t="s">
        <v>36</v>
      </c>
      <c r="E68" s="52">
        <f>D37*D38*1.1*1172*1.15*1.2</f>
        <v>2446257</v>
      </c>
      <c r="F68" s="54">
        <f t="shared" si="0"/>
        <v>2446257</v>
      </c>
      <c r="G68" s="16"/>
      <c r="H68" s="11"/>
      <c r="I68" s="12"/>
      <c r="K68" s="11"/>
    </row>
    <row r="69" spans="2:11">
      <c r="B69" s="53" t="s">
        <v>60</v>
      </c>
      <c r="C69" s="50">
        <v>1</v>
      </c>
      <c r="D69" s="51" t="s">
        <v>21</v>
      </c>
      <c r="E69" s="52">
        <f>E66*0.11</f>
        <v>933672.07274880016</v>
      </c>
      <c r="F69" s="54">
        <f t="shared" si="0"/>
        <v>933672.07274880016</v>
      </c>
      <c r="G69" s="16"/>
      <c r="H69" s="11"/>
      <c r="I69" s="12"/>
      <c r="K69" s="11"/>
    </row>
    <row r="70" spans="2:11">
      <c r="B70" s="53" t="s">
        <v>43</v>
      </c>
      <c r="C70" s="50">
        <v>1</v>
      </c>
      <c r="D70" s="51" t="s">
        <v>21</v>
      </c>
      <c r="E70" s="52">
        <v>24840</v>
      </c>
      <c r="F70" s="54">
        <f t="shared" si="0"/>
        <v>24840</v>
      </c>
      <c r="G70" s="16"/>
      <c r="H70" s="11"/>
      <c r="I70" s="12"/>
      <c r="K70" s="11"/>
    </row>
    <row r="71" spans="2:11" ht="13.5" thickBot="1">
      <c r="B71" s="101" t="s">
        <v>61</v>
      </c>
      <c r="C71" s="102">
        <v>1</v>
      </c>
      <c r="D71" s="103" t="s">
        <v>36</v>
      </c>
      <c r="E71" s="104">
        <f>804307*0.95</f>
        <v>764091.64999999991</v>
      </c>
      <c r="F71" s="105">
        <f t="shared" si="0"/>
        <v>764091.64999999991</v>
      </c>
      <c r="G71" s="16"/>
      <c r="H71" s="11"/>
      <c r="I71" s="12"/>
      <c r="K71" s="11"/>
    </row>
    <row r="72" spans="2:11" ht="13.5" thickBot="1">
      <c r="B72" s="22" t="s">
        <v>11</v>
      </c>
      <c r="C72" s="23"/>
      <c r="D72" s="24"/>
      <c r="E72" s="25"/>
      <c r="F72" s="26">
        <f>SUM(F66:F71)</f>
        <v>12958728.656828802</v>
      </c>
      <c r="G72" s="16"/>
      <c r="H72" s="11"/>
      <c r="I72" s="12"/>
      <c r="K72" s="11"/>
    </row>
    <row r="73" spans="2:11" ht="13.5" thickBot="1">
      <c r="B73" s="20" t="s">
        <v>4</v>
      </c>
      <c r="C73" s="19"/>
      <c r="D73" s="18"/>
      <c r="E73" s="19"/>
      <c r="F73" s="21">
        <f>F72*18/118</f>
        <v>1976755.2188382919</v>
      </c>
      <c r="G73" s="16"/>
      <c r="H73" s="11"/>
      <c r="I73" s="12"/>
      <c r="K73" s="11"/>
    </row>
    <row r="74" spans="2:11" ht="13.5" thickBot="1">
      <c r="B74" s="20" t="s">
        <v>38</v>
      </c>
      <c r="C74" s="19"/>
      <c r="D74" s="18">
        <v>69</v>
      </c>
      <c r="E74" s="19"/>
      <c r="F74" s="80">
        <f>F72/D74</f>
        <v>187807.66169317105</v>
      </c>
      <c r="G74" s="16"/>
      <c r="H74" s="11"/>
      <c r="I74" s="12"/>
      <c r="K74" s="11"/>
    </row>
    <row r="75" spans="2:11" ht="25.5">
      <c r="B75" s="75" t="s">
        <v>57</v>
      </c>
      <c r="G75" s="16"/>
      <c r="H75" s="11"/>
      <c r="I75" s="12"/>
      <c r="K75" s="11"/>
    </row>
    <row r="76" spans="2:11">
      <c r="B76" s="11" t="s">
        <v>37</v>
      </c>
      <c r="G76" s="16"/>
      <c r="H76" s="11"/>
      <c r="I76" s="12"/>
      <c r="K76" s="11"/>
    </row>
    <row r="77" spans="2:11">
      <c r="B77" s="11" t="s">
        <v>76</v>
      </c>
      <c r="C77" s="57"/>
      <c r="D77" s="83"/>
      <c r="E77" s="231"/>
      <c r="F77" s="230"/>
      <c r="G77" s="16"/>
      <c r="H77" s="11"/>
      <c r="I77" s="12"/>
      <c r="K77" s="11"/>
    </row>
    <row r="78" spans="2:11" ht="13.5" thickBot="1">
      <c r="C78" s="57"/>
      <c r="D78" s="83"/>
      <c r="E78" s="231"/>
      <c r="F78" s="230"/>
      <c r="G78" s="16"/>
      <c r="H78" s="11"/>
      <c r="I78" s="12"/>
      <c r="K78" s="11"/>
    </row>
    <row r="79" spans="2:11" ht="13.5" thickBot="1">
      <c r="B79" s="30" t="s">
        <v>89</v>
      </c>
      <c r="C79" s="31"/>
      <c r="D79" s="32"/>
      <c r="E79" s="32"/>
      <c r="F79" s="33"/>
      <c r="G79" s="16"/>
      <c r="H79" s="11"/>
      <c r="I79" s="12"/>
      <c r="K79" s="11"/>
    </row>
    <row r="80" spans="2:11" ht="13.5" thickBot="1">
      <c r="B80" s="71"/>
      <c r="C80" s="72"/>
      <c r="D80" s="73"/>
      <c r="E80" s="73"/>
      <c r="F80" s="74"/>
      <c r="G80" s="16"/>
      <c r="H80" s="11"/>
      <c r="I80" s="12"/>
      <c r="K80" s="11"/>
    </row>
    <row r="81" spans="2:11" ht="63.75">
      <c r="B81" s="96" t="s">
        <v>179</v>
      </c>
      <c r="C81" s="97">
        <v>1</v>
      </c>
      <c r="D81" s="98" t="s">
        <v>5</v>
      </c>
      <c r="E81" s="99">
        <f>((30203+57921)*0.95*1.12*69+6435*69+12846*0.75*69)*1.12*0.65</f>
        <v>5517153.1571520008</v>
      </c>
      <c r="F81" s="100">
        <f t="shared" ref="F81" si="1">C81*E81</f>
        <v>5517153.1571520008</v>
      </c>
      <c r="G81" s="16"/>
      <c r="H81" s="11"/>
      <c r="I81" s="12"/>
      <c r="K81" s="11"/>
    </row>
    <row r="82" spans="2:11">
      <c r="B82" s="53" t="s">
        <v>81</v>
      </c>
      <c r="C82" s="50">
        <v>1</v>
      </c>
      <c r="D82" s="51" t="s">
        <v>36</v>
      </c>
      <c r="E82" s="52">
        <f>301940</f>
        <v>301940</v>
      </c>
      <c r="F82" s="54">
        <f t="shared" ref="F82:F86" si="2">C82*E82</f>
        <v>301940</v>
      </c>
      <c r="G82" s="16"/>
      <c r="H82" s="11"/>
      <c r="I82" s="12"/>
      <c r="K82" s="11"/>
    </row>
    <row r="83" spans="2:11">
      <c r="B83" s="53" t="s">
        <v>59</v>
      </c>
      <c r="C83" s="50">
        <v>1</v>
      </c>
      <c r="D83" s="51" t="s">
        <v>36</v>
      </c>
      <c r="E83" s="52">
        <f>D37*D38*1.1*1172*1.15*1.2</f>
        <v>2446257</v>
      </c>
      <c r="F83" s="54">
        <f t="shared" si="2"/>
        <v>2446257</v>
      </c>
      <c r="G83" s="16"/>
      <c r="H83" s="11"/>
      <c r="I83" s="12"/>
      <c r="K83" s="11"/>
    </row>
    <row r="84" spans="2:11">
      <c r="B84" s="53" t="s">
        <v>60</v>
      </c>
      <c r="C84" s="50">
        <v>1</v>
      </c>
      <c r="D84" s="51" t="s">
        <v>21</v>
      </c>
      <c r="E84" s="52">
        <f>E66*0.11</f>
        <v>933672.07274880016</v>
      </c>
      <c r="F84" s="54">
        <f t="shared" si="2"/>
        <v>933672.07274880016</v>
      </c>
      <c r="G84" s="16"/>
      <c r="H84" s="11"/>
      <c r="I84" s="12"/>
      <c r="K84" s="11"/>
    </row>
    <row r="85" spans="2:11">
      <c r="B85" s="53" t="s">
        <v>43</v>
      </c>
      <c r="C85" s="50">
        <v>1</v>
      </c>
      <c r="D85" s="51" t="s">
        <v>21</v>
      </c>
      <c r="E85" s="52">
        <v>24840</v>
      </c>
      <c r="F85" s="54">
        <f t="shared" si="2"/>
        <v>24840</v>
      </c>
      <c r="G85" s="16"/>
      <c r="H85" s="11"/>
      <c r="I85" s="12"/>
      <c r="K85" s="11"/>
    </row>
    <row r="86" spans="2:11" ht="13.5" thickBot="1">
      <c r="B86" s="101" t="s">
        <v>61</v>
      </c>
      <c r="C86" s="102">
        <v>1</v>
      </c>
      <c r="D86" s="103" t="s">
        <v>36</v>
      </c>
      <c r="E86" s="104">
        <f>804307*0.95</f>
        <v>764091.64999999991</v>
      </c>
      <c r="F86" s="105">
        <f t="shared" si="2"/>
        <v>764091.64999999991</v>
      </c>
      <c r="G86" s="16"/>
      <c r="H86" s="11"/>
      <c r="I86" s="12"/>
      <c r="K86" s="11"/>
    </row>
    <row r="87" spans="2:11" ht="13.5" thickBot="1">
      <c r="B87" s="22" t="s">
        <v>11</v>
      </c>
      <c r="C87" s="23"/>
      <c r="D87" s="24"/>
      <c r="E87" s="25"/>
      <c r="F87" s="26">
        <f>SUM(F81:F86)</f>
        <v>9987953.8799008019</v>
      </c>
      <c r="G87" s="16"/>
      <c r="H87" s="11"/>
      <c r="I87" s="12"/>
      <c r="K87" s="11"/>
    </row>
    <row r="88" spans="2:11" ht="13.5" thickBot="1">
      <c r="B88" s="20" t="s">
        <v>4</v>
      </c>
      <c r="C88" s="19"/>
      <c r="D88" s="18"/>
      <c r="E88" s="19"/>
      <c r="F88" s="21">
        <f>F87*18/118</f>
        <v>1523586.1850696139</v>
      </c>
      <c r="G88" s="16"/>
      <c r="H88" s="11"/>
      <c r="I88" s="12"/>
      <c r="K88" s="11"/>
    </row>
    <row r="89" spans="2:11" ht="13.5" thickBot="1">
      <c r="B89" s="20" t="s">
        <v>38</v>
      </c>
      <c r="C89" s="19"/>
      <c r="D89" s="18">
        <v>69</v>
      </c>
      <c r="E89" s="19"/>
      <c r="F89" s="80">
        <f>F87/D89</f>
        <v>144752.95478117105</v>
      </c>
      <c r="G89" s="16"/>
      <c r="H89" s="11"/>
      <c r="I89" s="12"/>
      <c r="K89" s="11"/>
    </row>
    <row r="90" spans="2:11" ht="25.5">
      <c r="B90" s="75" t="s">
        <v>57</v>
      </c>
      <c r="G90" s="16"/>
      <c r="H90" s="11"/>
      <c r="I90" s="12"/>
      <c r="K90" s="11"/>
    </row>
    <row r="91" spans="2:11">
      <c r="B91" s="11" t="s">
        <v>37</v>
      </c>
      <c r="G91" s="16"/>
      <c r="H91" s="11"/>
      <c r="I91" s="12"/>
      <c r="K91" s="11"/>
    </row>
    <row r="92" spans="2:11">
      <c r="B92" s="11" t="s">
        <v>76</v>
      </c>
      <c r="C92" s="57"/>
      <c r="D92" s="83"/>
      <c r="E92" s="231"/>
      <c r="F92" s="230"/>
      <c r="G92" s="16"/>
      <c r="H92" s="11"/>
      <c r="I92" s="12"/>
      <c r="K92" s="11"/>
    </row>
  </sheetData>
  <mergeCells count="26">
    <mergeCell ref="C54:D54"/>
    <mergeCell ref="G54:H54"/>
    <mergeCell ref="B30:F30"/>
    <mergeCell ref="B33:F33"/>
    <mergeCell ref="B34:F34"/>
    <mergeCell ref="C52:D52"/>
    <mergeCell ref="G52:H52"/>
    <mergeCell ref="E53:F53"/>
    <mergeCell ref="C23:F23"/>
    <mergeCell ref="B24:D24"/>
    <mergeCell ref="B25:F25"/>
    <mergeCell ref="B26:F26"/>
    <mergeCell ref="C28:D28"/>
    <mergeCell ref="E28:F28"/>
    <mergeCell ref="B19:F19"/>
    <mergeCell ref="C1:F1"/>
    <mergeCell ref="C3:F3"/>
    <mergeCell ref="B4:F4"/>
    <mergeCell ref="C5:D5"/>
    <mergeCell ref="E5:F5"/>
    <mergeCell ref="B6:F6"/>
    <mergeCell ref="B8:F8"/>
    <mergeCell ref="B10:F10"/>
    <mergeCell ref="C11:D11"/>
    <mergeCell ref="D12:F12"/>
    <mergeCell ref="C13:D13"/>
  </mergeCells>
  <pageMargins left="0.25" right="0.25" top="0.75" bottom="0.75" header="0.3" footer="0.3"/>
  <pageSetup paperSize="9" scale="9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287м2 Н-БУнестандартный</vt:lpstr>
      <vt:lpstr>6-5Н-БУ</vt:lpstr>
      <vt:lpstr>6-10Н-БУ</vt:lpstr>
      <vt:lpstr>12-24Н-БУ</vt:lpstr>
      <vt:lpstr>15-30 Н-БУ</vt:lpstr>
      <vt:lpstr>20-30 Н-БУ</vt:lpstr>
      <vt:lpstr>20-40 Н-БУ</vt:lpstr>
      <vt:lpstr>20-45 Н-БУ</vt:lpstr>
      <vt:lpstr>25-55 Н-БУ (2)</vt:lpstr>
      <vt:lpstr>30-60 Н-БУ</vt:lpstr>
      <vt:lpstr>32-72 Н-БУ (3 компрессора)</vt:lpstr>
      <vt:lpstr>50-100 Н-БУ</vt:lpstr>
    </vt:vector>
  </TitlesOfParts>
  <Company>Akvilon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Proff</dc:creator>
  <cp:lastModifiedBy>Admin</cp:lastModifiedBy>
  <cp:lastPrinted>2016-03-17T13:35:14Z</cp:lastPrinted>
  <dcterms:created xsi:type="dcterms:W3CDTF">2009-03-18T11:44:09Z</dcterms:created>
  <dcterms:modified xsi:type="dcterms:W3CDTF">2018-11-26T07:19:40Z</dcterms:modified>
</cp:coreProperties>
</file>